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ichael\Downloads\"/>
    </mc:Choice>
  </mc:AlternateContent>
  <xr:revisionPtr revIDLastSave="0" documentId="8_{FCC9B5E4-40E1-4C71-9B2E-DABCBE5E4EBA}" xr6:coauthVersionLast="47" xr6:coauthVersionMax="47" xr10:uidLastSave="{00000000-0000-0000-0000-000000000000}"/>
  <bookViews>
    <workbookView xWindow="-120" yWindow="-120" windowWidth="51840" windowHeight="21120" tabRatio="500" activeTab="9" xr2:uid="{00000000-000D-0000-FFFF-FFFF00000000}"/>
  </bookViews>
  <sheets>
    <sheet name="Risk Register" sheetId="1" r:id="rId1"/>
    <sheet name="Top 10 - Overall" sheetId="2" r:id="rId2"/>
    <sheet name="Top 10 - Perth" sheetId="3" r:id="rId3"/>
    <sheet name="Top 10 - Fremantle" sheetId="4" r:id="rId4"/>
    <sheet name="Risk by Template" sheetId="5" r:id="rId5"/>
    <sheet name="Summary by Assessment" sheetId="6" r:id="rId6"/>
    <sheet name="School Comparison" sheetId="7" r:id="rId7"/>
    <sheet name="Scales &amp; Matrix" sheetId="8" r:id="rId8"/>
    <sheet name="Data Quality Notes" sheetId="9" r:id="rId9"/>
    <sheet name="Read Me" sheetId="10" r:id="rId10"/>
  </sheets>
  <definedNames>
    <definedName name="_xlnm._FilterDatabase" localSheetId="0" hidden="1">'Risk Register'!$A$4:$AA$297</definedName>
    <definedName name="_xlnm._FilterDatabase" localSheetId="5" hidden="1">'Summary by Assessment'!$A$4:$Q$101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9" i="8" l="1"/>
  <c r="E39" i="8"/>
  <c r="D39" i="8"/>
  <c r="C39" i="8"/>
  <c r="B39" i="8"/>
  <c r="A39" i="8"/>
  <c r="F38" i="8"/>
  <c r="E38" i="8"/>
  <c r="D38" i="8"/>
  <c r="C38" i="8"/>
  <c r="B38" i="8"/>
  <c r="A38" i="8"/>
  <c r="F37" i="8"/>
  <c r="E37" i="8"/>
  <c r="D37" i="8"/>
  <c r="C37" i="8"/>
  <c r="B37" i="8"/>
  <c r="A37" i="8"/>
  <c r="F36" i="8"/>
  <c r="E36" i="8"/>
  <c r="D36" i="8"/>
  <c r="C36" i="8"/>
  <c r="B36" i="8"/>
  <c r="A36" i="8"/>
  <c r="F35" i="8"/>
  <c r="E35" i="8"/>
  <c r="D35" i="8"/>
  <c r="C35" i="8"/>
  <c r="B35" i="8"/>
  <c r="A35" i="8"/>
  <c r="F34" i="8"/>
  <c r="E34" i="8"/>
  <c r="D34" i="8"/>
  <c r="C34" i="8"/>
  <c r="B34" i="8"/>
  <c r="F30" i="8"/>
  <c r="E30" i="8"/>
  <c r="D30" i="8"/>
  <c r="C30" i="8"/>
  <c r="B30" i="8"/>
  <c r="A30" i="8"/>
  <c r="F29" i="8"/>
  <c r="E29" i="8"/>
  <c r="D29" i="8"/>
  <c r="C29" i="8"/>
  <c r="B29" i="8"/>
  <c r="A29" i="8"/>
  <c r="F28" i="8"/>
  <c r="E28" i="8"/>
  <c r="D28" i="8"/>
  <c r="C28" i="8"/>
  <c r="B28" i="8"/>
  <c r="A28" i="8"/>
  <c r="F27" i="8"/>
  <c r="E27" i="8"/>
  <c r="D27" i="8"/>
  <c r="C27" i="8"/>
  <c r="B27" i="8"/>
  <c r="A27" i="8"/>
  <c r="F26" i="8"/>
  <c r="E26" i="8"/>
  <c r="D26" i="8"/>
  <c r="C26" i="8"/>
  <c r="B26" i="8"/>
  <c r="A26" i="8"/>
  <c r="F25" i="8"/>
  <c r="E25" i="8"/>
  <c r="D25" i="8"/>
  <c r="C25" i="8"/>
  <c r="B25" i="8"/>
  <c r="M17" i="8"/>
  <c r="L17" i="8"/>
  <c r="K17" i="8"/>
  <c r="J17" i="8"/>
  <c r="I17" i="8"/>
  <c r="H17" i="8"/>
  <c r="A17" i="8"/>
  <c r="M16" i="8"/>
  <c r="L16" i="8"/>
  <c r="K16" i="8"/>
  <c r="J16" i="8"/>
  <c r="I16" i="8"/>
  <c r="H16" i="8"/>
  <c r="A16" i="8"/>
  <c r="M15" i="8"/>
  <c r="L15" i="8"/>
  <c r="K15" i="8"/>
  <c r="J15" i="8"/>
  <c r="I15" i="8"/>
  <c r="H15" i="8"/>
  <c r="A15" i="8"/>
  <c r="M14" i="8"/>
  <c r="L14" i="8"/>
  <c r="K14" i="8"/>
  <c r="J14" i="8"/>
  <c r="I14" i="8"/>
  <c r="H14" i="8"/>
  <c r="A14" i="8"/>
  <c r="M13" i="8"/>
  <c r="L13" i="8"/>
  <c r="K13" i="8"/>
  <c r="J13" i="8"/>
  <c r="I13" i="8"/>
  <c r="H13" i="8"/>
  <c r="A13" i="8"/>
  <c r="M12" i="8"/>
  <c r="L12" i="8"/>
  <c r="K12" i="8"/>
  <c r="J12" i="8"/>
  <c r="I12" i="8"/>
  <c r="F12" i="8"/>
  <c r="E12" i="8"/>
  <c r="D12" i="8"/>
  <c r="C12" i="8"/>
  <c r="B12" i="8"/>
  <c r="D29" i="7"/>
  <c r="C29" i="7"/>
  <c r="B29" i="7"/>
  <c r="D25" i="7"/>
  <c r="D24" i="7"/>
  <c r="C24" i="7"/>
  <c r="B24" i="7"/>
  <c r="K101" i="6"/>
  <c r="H101" i="6"/>
  <c r="H100" i="6"/>
  <c r="H99" i="6"/>
  <c r="H98" i="6"/>
  <c r="H97" i="6"/>
  <c r="H96" i="6"/>
  <c r="H95" i="6"/>
  <c r="H94" i="6"/>
  <c r="H93" i="6"/>
  <c r="H92" i="6"/>
  <c r="H91" i="6"/>
  <c r="H90" i="6"/>
  <c r="H89" i="6"/>
  <c r="H88" i="6"/>
  <c r="H87" i="6"/>
  <c r="H86" i="6"/>
  <c r="H85" i="6"/>
  <c r="H84" i="6"/>
  <c r="H83" i="6"/>
  <c r="I82" i="6"/>
  <c r="H82" i="6"/>
  <c r="H81" i="6"/>
  <c r="H80" i="6"/>
  <c r="H79" i="6"/>
  <c r="H78" i="6"/>
  <c r="H77" i="6"/>
  <c r="H76" i="6"/>
  <c r="H75" i="6"/>
  <c r="H74" i="6"/>
  <c r="H73" i="6"/>
  <c r="H72" i="6"/>
  <c r="H71" i="6"/>
  <c r="H70" i="6"/>
  <c r="H69" i="6"/>
  <c r="H68" i="6"/>
  <c r="H67" i="6"/>
  <c r="H66" i="6"/>
  <c r="H65" i="6"/>
  <c r="H64" i="6"/>
  <c r="H63" i="6"/>
  <c r="H62" i="6"/>
  <c r="H61" i="6"/>
  <c r="H60" i="6"/>
  <c r="H59" i="6"/>
  <c r="H58" i="6"/>
  <c r="H57" i="6"/>
  <c r="H56" i="6"/>
  <c r="H55" i="6"/>
  <c r="H54" i="6"/>
  <c r="H53" i="6"/>
  <c r="H52" i="6"/>
  <c r="H51" i="6"/>
  <c r="H50" i="6"/>
  <c r="H49" i="6"/>
  <c r="H48" i="6"/>
  <c r="H47" i="6"/>
  <c r="H46" i="6"/>
  <c r="H45" i="6"/>
  <c r="H44" i="6"/>
  <c r="H43" i="6"/>
  <c r="H42" i="6"/>
  <c r="H41" i="6"/>
  <c r="H40" i="6"/>
  <c r="H39" i="6"/>
  <c r="I38" i="6"/>
  <c r="H38" i="6"/>
  <c r="H37" i="6"/>
  <c r="H36" i="6"/>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C85" i="5"/>
  <c r="C84" i="5"/>
  <c r="C83" i="5"/>
  <c r="C82" i="5"/>
  <c r="C81" i="5"/>
  <c r="C80" i="5"/>
  <c r="C79" i="5"/>
  <c r="C73" i="5"/>
  <c r="C72" i="5"/>
  <c r="C71" i="5"/>
  <c r="C70" i="5"/>
  <c r="C69" i="5"/>
  <c r="C68" i="5"/>
  <c r="C67" i="5"/>
  <c r="C74" i="5" s="1"/>
  <c r="D61" i="5"/>
  <c r="C61" i="5"/>
  <c r="E60" i="5"/>
  <c r="D60" i="5"/>
  <c r="C60" i="5"/>
  <c r="D59" i="5"/>
  <c r="C59" i="5"/>
  <c r="D58" i="5"/>
  <c r="C58" i="5"/>
  <c r="D57" i="5"/>
  <c r="C57" i="5"/>
  <c r="D56" i="5"/>
  <c r="C56" i="5"/>
  <c r="D55" i="5"/>
  <c r="C55" i="5"/>
  <c r="C62" i="5" s="1"/>
  <c r="S33" i="4"/>
  <c r="S32" i="4"/>
  <c r="S31" i="4"/>
  <c r="S30" i="4"/>
  <c r="S29" i="4"/>
  <c r="X28" i="4"/>
  <c r="W28" i="4"/>
  <c r="V28" i="4"/>
  <c r="U28" i="4"/>
  <c r="T28" i="4"/>
  <c r="S25" i="4"/>
  <c r="AE24" i="4"/>
  <c r="AD24" i="4"/>
  <c r="AC24" i="4"/>
  <c r="AB24" i="4"/>
  <c r="AA24" i="4"/>
  <c r="S24" i="4"/>
  <c r="AE23" i="4"/>
  <c r="AD23" i="4"/>
  <c r="AC23" i="4"/>
  <c r="AB23" i="4"/>
  <c r="AA23" i="4"/>
  <c r="S23" i="4"/>
  <c r="AE22" i="4"/>
  <c r="AD22" i="4"/>
  <c r="AC22" i="4"/>
  <c r="AB22" i="4"/>
  <c r="AA22" i="4"/>
  <c r="S22" i="4"/>
  <c r="AE21" i="4"/>
  <c r="AD21" i="4"/>
  <c r="AC21" i="4"/>
  <c r="AB21" i="4"/>
  <c r="AA21" i="4"/>
  <c r="S21" i="4"/>
  <c r="AE20" i="4"/>
  <c r="AD20" i="4"/>
  <c r="AC20" i="4"/>
  <c r="AB20" i="4"/>
  <c r="AA20" i="4"/>
  <c r="X20" i="4"/>
  <c r="W20" i="4"/>
  <c r="V20" i="4"/>
  <c r="U20" i="4"/>
  <c r="T20" i="4"/>
  <c r="S33" i="3"/>
  <c r="S32" i="3"/>
  <c r="S31" i="3"/>
  <c r="S30" i="3"/>
  <c r="S29" i="3"/>
  <c r="X28" i="3"/>
  <c r="W28" i="3"/>
  <c r="V28" i="3"/>
  <c r="U28" i="3"/>
  <c r="T28" i="3"/>
  <c r="S25" i="3"/>
  <c r="AE24" i="3"/>
  <c r="AD24" i="3"/>
  <c r="AC24" i="3"/>
  <c r="AB24" i="3"/>
  <c r="AA24" i="3"/>
  <c r="S24" i="3"/>
  <c r="AE23" i="3"/>
  <c r="AD23" i="3"/>
  <c r="AC23" i="3"/>
  <c r="AB23" i="3"/>
  <c r="AA23" i="3"/>
  <c r="S23" i="3"/>
  <c r="AE22" i="3"/>
  <c r="AD22" i="3"/>
  <c r="AC22" i="3"/>
  <c r="AB22" i="3"/>
  <c r="AA22" i="3"/>
  <c r="S22" i="3"/>
  <c r="AE21" i="3"/>
  <c r="AD21" i="3"/>
  <c r="AC21" i="3"/>
  <c r="AB21" i="3"/>
  <c r="AA21" i="3"/>
  <c r="S21" i="3"/>
  <c r="AE20" i="3"/>
  <c r="AD20" i="3"/>
  <c r="AC20" i="3"/>
  <c r="AB20" i="3"/>
  <c r="AA20" i="3"/>
  <c r="X20" i="3"/>
  <c r="W20" i="3"/>
  <c r="V20" i="3"/>
  <c r="U20" i="3"/>
  <c r="T20" i="3"/>
  <c r="S33" i="2"/>
  <c r="S32" i="2"/>
  <c r="S31" i="2"/>
  <c r="S30" i="2"/>
  <c r="S29" i="2"/>
  <c r="X28" i="2"/>
  <c r="W28" i="2"/>
  <c r="V28" i="2"/>
  <c r="U28" i="2"/>
  <c r="T28" i="2"/>
  <c r="S25" i="2"/>
  <c r="AE24" i="2"/>
  <c r="AD24" i="2"/>
  <c r="AC24" i="2"/>
  <c r="AB24" i="2"/>
  <c r="AA24" i="2"/>
  <c r="S24" i="2"/>
  <c r="AE23" i="2"/>
  <c r="AD23" i="2"/>
  <c r="AC23" i="2"/>
  <c r="AB23" i="2"/>
  <c r="AA23" i="2"/>
  <c r="S23" i="2"/>
  <c r="AE22" i="2"/>
  <c r="AD22" i="2"/>
  <c r="AC22" i="2"/>
  <c r="AB22" i="2"/>
  <c r="AA22" i="2"/>
  <c r="S22" i="2"/>
  <c r="AE21" i="2"/>
  <c r="AD21" i="2"/>
  <c r="AC21" i="2"/>
  <c r="AB21" i="2"/>
  <c r="AA21" i="2"/>
  <c r="S21" i="2"/>
  <c r="AE20" i="2"/>
  <c r="AD20" i="2"/>
  <c r="AC20" i="2"/>
  <c r="AB20" i="2"/>
  <c r="AA20" i="2"/>
  <c r="X20" i="2"/>
  <c r="W20" i="2"/>
  <c r="V20" i="2"/>
  <c r="U20" i="2"/>
  <c r="T20" i="2"/>
  <c r="AD297" i="1"/>
  <c r="AB297" i="1"/>
  <c r="AC297" i="1" s="1"/>
  <c r="AA297" i="1"/>
  <c r="V297" i="1"/>
  <c r="W297" i="1" s="1"/>
  <c r="U297" i="1"/>
  <c r="T297" i="1"/>
  <c r="P297" i="1"/>
  <c r="O297" i="1"/>
  <c r="D297" i="1"/>
  <c r="AD296" i="1"/>
  <c r="V296" i="1"/>
  <c r="U296" i="1"/>
  <c r="T296" i="1"/>
  <c r="P296" i="1"/>
  <c r="O296" i="1"/>
  <c r="D296" i="1"/>
  <c r="AB295" i="1"/>
  <c r="AA295" i="1"/>
  <c r="V295" i="1"/>
  <c r="U295" i="1"/>
  <c r="T295" i="1"/>
  <c r="P295" i="1"/>
  <c r="O295" i="1"/>
  <c r="D295" i="1"/>
  <c r="AD295" i="1" s="1"/>
  <c r="AD294" i="1"/>
  <c r="U294" i="1"/>
  <c r="T294" i="1"/>
  <c r="P294" i="1"/>
  <c r="O294" i="1"/>
  <c r="D294" i="1"/>
  <c r="AD293" i="1"/>
  <c r="U293" i="1"/>
  <c r="T293" i="1"/>
  <c r="P293" i="1"/>
  <c r="O293" i="1"/>
  <c r="D293" i="1"/>
  <c r="U292" i="1"/>
  <c r="T292" i="1"/>
  <c r="P292" i="1"/>
  <c r="O292" i="1"/>
  <c r="D292" i="1"/>
  <c r="AD292" i="1" s="1"/>
  <c r="U291" i="1"/>
  <c r="T291" i="1"/>
  <c r="P291" i="1"/>
  <c r="O291" i="1"/>
  <c r="D291" i="1"/>
  <c r="AD291" i="1" s="1"/>
  <c r="AD290" i="1"/>
  <c r="AB290" i="1"/>
  <c r="AC290" i="1" s="1"/>
  <c r="V290" i="1"/>
  <c r="W290" i="1" s="1"/>
  <c r="U290" i="1"/>
  <c r="T290" i="1"/>
  <c r="P290" i="1"/>
  <c r="O290" i="1"/>
  <c r="D290" i="1"/>
  <c r="AD289" i="1"/>
  <c r="U289" i="1"/>
  <c r="T289" i="1"/>
  <c r="P289" i="1"/>
  <c r="O289" i="1"/>
  <c r="D289" i="1"/>
  <c r="W288" i="1"/>
  <c r="U288" i="1"/>
  <c r="T288" i="1"/>
  <c r="P288" i="1"/>
  <c r="O288" i="1"/>
  <c r="V288" i="1" s="1"/>
  <c r="D288" i="1"/>
  <c r="AD288" i="1" s="1"/>
  <c r="AB287" i="1"/>
  <c r="V287" i="1"/>
  <c r="W287" i="1" s="1"/>
  <c r="U287" i="1"/>
  <c r="T287" i="1"/>
  <c r="AA287" i="1" s="1"/>
  <c r="P287" i="1"/>
  <c r="O287" i="1"/>
  <c r="D287" i="1"/>
  <c r="AD286" i="1"/>
  <c r="U286" i="1"/>
  <c r="T286" i="1"/>
  <c r="P286" i="1"/>
  <c r="O286" i="1"/>
  <c r="D286" i="1"/>
  <c r="U285" i="1"/>
  <c r="T285" i="1"/>
  <c r="P285" i="1"/>
  <c r="O285" i="1"/>
  <c r="D285" i="1"/>
  <c r="AD285" i="1" s="1"/>
  <c r="AB284" i="1"/>
  <c r="V284" i="1"/>
  <c r="U284" i="1"/>
  <c r="T284" i="1"/>
  <c r="P284" i="1"/>
  <c r="O284" i="1"/>
  <c r="D284" i="1"/>
  <c r="AD283" i="1"/>
  <c r="W283" i="1"/>
  <c r="U283" i="1"/>
  <c r="T283" i="1"/>
  <c r="P283" i="1"/>
  <c r="O283" i="1"/>
  <c r="V283" i="1" s="1"/>
  <c r="D283" i="1"/>
  <c r="U282" i="1"/>
  <c r="T282" i="1"/>
  <c r="P282" i="1"/>
  <c r="AA282" i="1" s="1"/>
  <c r="O282" i="1"/>
  <c r="D282" i="1"/>
  <c r="W281" i="1"/>
  <c r="V281" i="1"/>
  <c r="U281" i="1"/>
  <c r="T281" i="1"/>
  <c r="AB281" i="1" s="1"/>
  <c r="P281" i="1"/>
  <c r="O281" i="1"/>
  <c r="D281" i="1"/>
  <c r="AD281" i="1" s="1"/>
  <c r="AA280" i="1"/>
  <c r="U280" i="1"/>
  <c r="T280" i="1"/>
  <c r="P280" i="1"/>
  <c r="O280" i="1"/>
  <c r="D280" i="1"/>
  <c r="AD280" i="1" s="1"/>
  <c r="AD279" i="1"/>
  <c r="U279" i="1"/>
  <c r="T279" i="1"/>
  <c r="P279" i="1"/>
  <c r="O279" i="1"/>
  <c r="D279" i="1"/>
  <c r="V278" i="1"/>
  <c r="U278" i="1"/>
  <c r="AA278" i="1" s="1"/>
  <c r="T278" i="1"/>
  <c r="P278" i="1"/>
  <c r="O278" i="1"/>
  <c r="D278" i="1"/>
  <c r="AB277" i="1"/>
  <c r="AA277" i="1"/>
  <c r="V277" i="1"/>
  <c r="W277" i="1" s="1"/>
  <c r="U277" i="1"/>
  <c r="T277" i="1"/>
  <c r="P277" i="1"/>
  <c r="O277" i="1"/>
  <c r="D277" i="1"/>
  <c r="AD277" i="1" s="1"/>
  <c r="U276" i="1"/>
  <c r="T276" i="1"/>
  <c r="P276" i="1"/>
  <c r="O276" i="1"/>
  <c r="D276" i="1"/>
  <c r="AD275" i="1"/>
  <c r="U275" i="1"/>
  <c r="T275" i="1"/>
  <c r="P275" i="1"/>
  <c r="O275" i="1"/>
  <c r="D275" i="1"/>
  <c r="U274" i="1"/>
  <c r="T274" i="1"/>
  <c r="P274" i="1"/>
  <c r="O274" i="1"/>
  <c r="D274" i="1"/>
  <c r="AD273" i="1"/>
  <c r="U273" i="1"/>
  <c r="T273" i="1"/>
  <c r="P273" i="1"/>
  <c r="O273" i="1"/>
  <c r="D273" i="1"/>
  <c r="W272" i="1"/>
  <c r="U272" i="1"/>
  <c r="AA272" i="1" s="1"/>
  <c r="T272" i="1"/>
  <c r="P272" i="1"/>
  <c r="O272" i="1"/>
  <c r="V272" i="1" s="1"/>
  <c r="D272" i="1"/>
  <c r="AC272" i="1" s="1"/>
  <c r="AD271" i="1"/>
  <c r="U271" i="1"/>
  <c r="T271" i="1"/>
  <c r="P271" i="1"/>
  <c r="O271" i="1"/>
  <c r="D271" i="1"/>
  <c r="U270" i="1"/>
  <c r="T270" i="1"/>
  <c r="P270" i="1"/>
  <c r="O270" i="1"/>
  <c r="D270" i="1"/>
  <c r="AC269" i="1"/>
  <c r="V269" i="1"/>
  <c r="U269" i="1"/>
  <c r="T269" i="1"/>
  <c r="P269" i="1"/>
  <c r="O269" i="1"/>
  <c r="D269" i="1"/>
  <c r="AC268" i="1"/>
  <c r="W268" i="1"/>
  <c r="U268" i="1"/>
  <c r="T268" i="1"/>
  <c r="P268" i="1"/>
  <c r="O268" i="1"/>
  <c r="V268" i="1" s="1"/>
  <c r="D268" i="1"/>
  <c r="AC267" i="1"/>
  <c r="W267" i="1"/>
  <c r="U267" i="1"/>
  <c r="T267" i="1"/>
  <c r="P267" i="1"/>
  <c r="O267" i="1"/>
  <c r="V267" i="1" s="1"/>
  <c r="D267" i="1"/>
  <c r="AD266" i="1"/>
  <c r="V266" i="1"/>
  <c r="U266" i="1"/>
  <c r="T266" i="1"/>
  <c r="P266" i="1"/>
  <c r="O266" i="1"/>
  <c r="D266" i="1"/>
  <c r="AC265" i="1"/>
  <c r="U265" i="1"/>
  <c r="T265" i="1"/>
  <c r="P265" i="1"/>
  <c r="O265" i="1"/>
  <c r="D265" i="1"/>
  <c r="AD264" i="1"/>
  <c r="U264" i="1"/>
  <c r="T264" i="1"/>
  <c r="P264" i="1"/>
  <c r="O264" i="1"/>
  <c r="V264" i="1" s="1"/>
  <c r="D264" i="1"/>
  <c r="AD263" i="1"/>
  <c r="AC263" i="1"/>
  <c r="AB263" i="1"/>
  <c r="U263" i="1"/>
  <c r="T263" i="1"/>
  <c r="P263" i="1"/>
  <c r="O263" i="1"/>
  <c r="D263" i="1"/>
  <c r="U262" i="1"/>
  <c r="T262" i="1"/>
  <c r="P262" i="1"/>
  <c r="O262" i="1"/>
  <c r="D262" i="1"/>
  <c r="AD262" i="1" s="1"/>
  <c r="AD261" i="1"/>
  <c r="U261" i="1"/>
  <c r="T261" i="1"/>
  <c r="P261" i="1"/>
  <c r="O261" i="1"/>
  <c r="D261" i="1"/>
  <c r="AC260" i="1"/>
  <c r="U260" i="1"/>
  <c r="T260" i="1"/>
  <c r="P260" i="1"/>
  <c r="O260" i="1"/>
  <c r="D260" i="1"/>
  <c r="U259" i="1"/>
  <c r="T259" i="1"/>
  <c r="P259" i="1"/>
  <c r="O259" i="1"/>
  <c r="D259" i="1"/>
  <c r="AD259" i="1" s="1"/>
  <c r="AC258" i="1"/>
  <c r="AB258" i="1"/>
  <c r="V258" i="1"/>
  <c r="U258" i="1"/>
  <c r="T258" i="1"/>
  <c r="P258" i="1"/>
  <c r="O258" i="1"/>
  <c r="D258" i="1"/>
  <c r="AD258" i="1" s="1"/>
  <c r="AC257" i="1"/>
  <c r="AB257" i="1"/>
  <c r="AD257" i="1" s="1"/>
  <c r="U257" i="1"/>
  <c r="T257" i="1"/>
  <c r="P257" i="1"/>
  <c r="O257" i="1"/>
  <c r="D257" i="1"/>
  <c r="AC256" i="1"/>
  <c r="W256" i="1"/>
  <c r="V256" i="1"/>
  <c r="U256" i="1"/>
  <c r="T256" i="1"/>
  <c r="P256" i="1"/>
  <c r="O256" i="1"/>
  <c r="D256" i="1"/>
  <c r="AD255" i="1"/>
  <c r="W255" i="1"/>
  <c r="U255" i="1"/>
  <c r="T255" i="1"/>
  <c r="P255" i="1"/>
  <c r="O255" i="1"/>
  <c r="V255" i="1" s="1"/>
  <c r="D255" i="1"/>
  <c r="AC254" i="1"/>
  <c r="V254" i="1"/>
  <c r="W254" i="1" s="1"/>
  <c r="U254" i="1"/>
  <c r="T254" i="1"/>
  <c r="P254" i="1"/>
  <c r="O254" i="1"/>
  <c r="D254" i="1"/>
  <c r="AD253" i="1"/>
  <c r="AC253" i="1"/>
  <c r="AB253" i="1"/>
  <c r="AA253" i="1"/>
  <c r="V253" i="1"/>
  <c r="W253" i="1" s="1"/>
  <c r="U253" i="1"/>
  <c r="T253" i="1"/>
  <c r="P253" i="1"/>
  <c r="O253" i="1"/>
  <c r="D253" i="1"/>
  <c r="U252" i="1"/>
  <c r="T252" i="1"/>
  <c r="P252" i="1"/>
  <c r="O252" i="1"/>
  <c r="D252" i="1"/>
  <c r="AD252" i="1" s="1"/>
  <c r="AB251" i="1"/>
  <c r="AA251" i="1"/>
  <c r="V251" i="1"/>
  <c r="U251" i="1"/>
  <c r="T251" i="1"/>
  <c r="P251" i="1"/>
  <c r="O251" i="1"/>
  <c r="D251" i="1"/>
  <c r="V250" i="1"/>
  <c r="U250" i="1"/>
  <c r="T250" i="1"/>
  <c r="P250" i="1"/>
  <c r="O250" i="1"/>
  <c r="W250" i="1" s="1"/>
  <c r="D250" i="1"/>
  <c r="V249" i="1"/>
  <c r="W249" i="1" s="1"/>
  <c r="U249" i="1"/>
  <c r="T249" i="1"/>
  <c r="P249" i="1"/>
  <c r="AA249" i="1" s="1"/>
  <c r="O249" i="1"/>
  <c r="D249" i="1"/>
  <c r="AB248" i="1"/>
  <c r="U248" i="1"/>
  <c r="T248" i="1"/>
  <c r="P248" i="1"/>
  <c r="O248" i="1"/>
  <c r="V248" i="1" s="1"/>
  <c r="W248" i="1" s="1"/>
  <c r="D248" i="1"/>
  <c r="AC247" i="1"/>
  <c r="U247" i="1"/>
  <c r="T247" i="1"/>
  <c r="P247" i="1"/>
  <c r="O247" i="1"/>
  <c r="D247" i="1"/>
  <c r="AC246" i="1"/>
  <c r="U246" i="1"/>
  <c r="T246" i="1"/>
  <c r="P246" i="1"/>
  <c r="O246" i="1"/>
  <c r="I79" i="6" s="1"/>
  <c r="D246" i="1"/>
  <c r="AD245" i="1"/>
  <c r="AA245" i="1"/>
  <c r="V245" i="1"/>
  <c r="W245" i="1" s="1"/>
  <c r="U245" i="1"/>
  <c r="T245" i="1"/>
  <c r="AB245" i="1" s="1"/>
  <c r="P245" i="1"/>
  <c r="O245" i="1"/>
  <c r="D245" i="1"/>
  <c r="AC245" i="1" s="1"/>
  <c r="U244" i="1"/>
  <c r="T244" i="1"/>
  <c r="P244" i="1"/>
  <c r="O244" i="1"/>
  <c r="V244" i="1" s="1"/>
  <c r="D244" i="1"/>
  <c r="U243" i="1"/>
  <c r="T243" i="1"/>
  <c r="P243" i="1"/>
  <c r="O243" i="1"/>
  <c r="D243" i="1"/>
  <c r="AD243" i="1" s="1"/>
  <c r="AD242" i="1"/>
  <c r="U242" i="1"/>
  <c r="T242" i="1"/>
  <c r="P242" i="1"/>
  <c r="O242" i="1"/>
  <c r="D242" i="1"/>
  <c r="AC241" i="1"/>
  <c r="AB241" i="1"/>
  <c r="AD241" i="1" s="1"/>
  <c r="AA241" i="1"/>
  <c r="U241" i="1"/>
  <c r="T241" i="1"/>
  <c r="P241" i="1"/>
  <c r="O241" i="1"/>
  <c r="D241" i="1"/>
  <c r="AD240" i="1"/>
  <c r="AC240" i="1"/>
  <c r="AB240" i="1"/>
  <c r="U240" i="1"/>
  <c r="K100" i="6" s="1"/>
  <c r="T240" i="1"/>
  <c r="P240" i="1"/>
  <c r="O240" i="1"/>
  <c r="D240" i="1"/>
  <c r="AD239" i="1"/>
  <c r="U239" i="1"/>
  <c r="T239" i="1"/>
  <c r="P239" i="1"/>
  <c r="O239" i="1"/>
  <c r="D239" i="1"/>
  <c r="AC238" i="1"/>
  <c r="U238" i="1"/>
  <c r="T238" i="1"/>
  <c r="P238" i="1"/>
  <c r="O238" i="1"/>
  <c r="D238" i="1"/>
  <c r="AC237" i="1"/>
  <c r="U237" i="1"/>
  <c r="T237" i="1"/>
  <c r="P237" i="1"/>
  <c r="O237" i="1"/>
  <c r="D237" i="1"/>
  <c r="AC236" i="1"/>
  <c r="V236" i="1"/>
  <c r="U236" i="1"/>
  <c r="T236" i="1"/>
  <c r="P236" i="1"/>
  <c r="O236" i="1"/>
  <c r="D236" i="1"/>
  <c r="AC235" i="1"/>
  <c r="AA235" i="1"/>
  <c r="U235" i="1"/>
  <c r="T235" i="1"/>
  <c r="P235" i="1"/>
  <c r="O235" i="1"/>
  <c r="D235" i="1"/>
  <c r="U234" i="1"/>
  <c r="T234" i="1"/>
  <c r="P234" i="1"/>
  <c r="O234" i="1"/>
  <c r="D234" i="1"/>
  <c r="AA233" i="1"/>
  <c r="V233" i="1"/>
  <c r="W233" i="1" s="1"/>
  <c r="U233" i="1"/>
  <c r="T233" i="1"/>
  <c r="P233" i="1"/>
  <c r="O233" i="1"/>
  <c r="D233" i="1"/>
  <c r="AD233" i="1" s="1"/>
  <c r="U232" i="1"/>
  <c r="T232" i="1"/>
  <c r="P232" i="1"/>
  <c r="O232" i="1"/>
  <c r="D232" i="1"/>
  <c r="AC231" i="1"/>
  <c r="U231" i="1"/>
  <c r="T231" i="1"/>
  <c r="P231" i="1"/>
  <c r="O231" i="1"/>
  <c r="D231" i="1"/>
  <c r="U230" i="1"/>
  <c r="T230" i="1"/>
  <c r="P230" i="1"/>
  <c r="O230" i="1"/>
  <c r="D230" i="1"/>
  <c r="AD230" i="1" s="1"/>
  <c r="AD229" i="1"/>
  <c r="U229" i="1"/>
  <c r="T229" i="1"/>
  <c r="P229" i="1"/>
  <c r="O229" i="1"/>
  <c r="D229" i="1"/>
  <c r="U228" i="1"/>
  <c r="T228" i="1"/>
  <c r="P228" i="1"/>
  <c r="O228" i="1"/>
  <c r="D228" i="1"/>
  <c r="U227" i="1"/>
  <c r="T227" i="1"/>
  <c r="P227" i="1"/>
  <c r="O227" i="1"/>
  <c r="V227" i="1" s="1"/>
  <c r="D227" i="1"/>
  <c r="AB226" i="1"/>
  <c r="AA226" i="1"/>
  <c r="W226" i="1"/>
  <c r="V226" i="1"/>
  <c r="U226" i="1"/>
  <c r="T226" i="1"/>
  <c r="P226" i="1"/>
  <c r="O226" i="1"/>
  <c r="D226" i="1"/>
  <c r="AB225" i="1"/>
  <c r="AC225" i="1" s="1"/>
  <c r="V225" i="1"/>
  <c r="U225" i="1"/>
  <c r="T225" i="1"/>
  <c r="P225" i="1"/>
  <c r="O225" i="1"/>
  <c r="D225" i="1"/>
  <c r="AD225" i="1" s="1"/>
  <c r="AD224" i="1"/>
  <c r="AB224" i="1"/>
  <c r="AC224" i="1" s="1"/>
  <c r="V224" i="1"/>
  <c r="W224" i="1" s="1"/>
  <c r="U224" i="1"/>
  <c r="T224" i="1"/>
  <c r="P224" i="1"/>
  <c r="O224" i="1"/>
  <c r="D224" i="1"/>
  <c r="AD223" i="1"/>
  <c r="U223" i="1"/>
  <c r="K99" i="6" s="1"/>
  <c r="T223" i="1"/>
  <c r="P223" i="1"/>
  <c r="O223" i="1"/>
  <c r="D223" i="1"/>
  <c r="AD222" i="1"/>
  <c r="AA222" i="1"/>
  <c r="V222" i="1"/>
  <c r="W222" i="1" s="1"/>
  <c r="U222" i="1"/>
  <c r="T222" i="1"/>
  <c r="P222" i="1"/>
  <c r="O222" i="1"/>
  <c r="D222" i="1"/>
  <c r="U221" i="1"/>
  <c r="K98" i="6" s="1"/>
  <c r="T221" i="1"/>
  <c r="P221" i="1"/>
  <c r="O221" i="1"/>
  <c r="D221" i="1"/>
  <c r="AD221" i="1" s="1"/>
  <c r="AC220" i="1"/>
  <c r="AB220" i="1"/>
  <c r="AD220" i="1" s="1"/>
  <c r="V220" i="1"/>
  <c r="U220" i="1"/>
  <c r="T220" i="1"/>
  <c r="P220" i="1"/>
  <c r="O220" i="1"/>
  <c r="D220" i="1"/>
  <c r="U219" i="1"/>
  <c r="T219" i="1"/>
  <c r="P219" i="1"/>
  <c r="O219" i="1"/>
  <c r="D219" i="1"/>
  <c r="U218" i="1"/>
  <c r="T218" i="1"/>
  <c r="P218" i="1"/>
  <c r="O218" i="1"/>
  <c r="D218" i="1"/>
  <c r="W217" i="1"/>
  <c r="V217" i="1"/>
  <c r="U217" i="1"/>
  <c r="K97" i="6" s="1"/>
  <c r="T217" i="1"/>
  <c r="P217" i="1"/>
  <c r="O217" i="1"/>
  <c r="I97" i="6" s="1"/>
  <c r="D217" i="1"/>
  <c r="AD216" i="1"/>
  <c r="AA216" i="1"/>
  <c r="U216" i="1"/>
  <c r="T216" i="1"/>
  <c r="P216" i="1"/>
  <c r="O216" i="1"/>
  <c r="D216" i="1"/>
  <c r="AB215" i="1"/>
  <c r="V215" i="1"/>
  <c r="W215" i="1" s="1"/>
  <c r="U215" i="1"/>
  <c r="T215" i="1"/>
  <c r="P215" i="1"/>
  <c r="O215" i="1"/>
  <c r="D215" i="1"/>
  <c r="AA214" i="1"/>
  <c r="V214" i="1"/>
  <c r="U214" i="1"/>
  <c r="T214" i="1"/>
  <c r="P214" i="1"/>
  <c r="O214" i="1"/>
  <c r="D214" i="1"/>
  <c r="AD214" i="1" s="1"/>
  <c r="AD213" i="1"/>
  <c r="U213" i="1"/>
  <c r="T213" i="1"/>
  <c r="P213" i="1"/>
  <c r="O213" i="1"/>
  <c r="D213" i="1"/>
  <c r="W212" i="1"/>
  <c r="V212" i="1"/>
  <c r="U212" i="1"/>
  <c r="K95" i="6" s="1"/>
  <c r="T212" i="1"/>
  <c r="P212" i="1"/>
  <c r="O212" i="1"/>
  <c r="D212" i="1"/>
  <c r="AD211" i="1"/>
  <c r="U211" i="1"/>
  <c r="K94" i="6" s="1"/>
  <c r="T211" i="1"/>
  <c r="P211" i="1"/>
  <c r="O211" i="1"/>
  <c r="D211" i="1"/>
  <c r="U210" i="1"/>
  <c r="K91" i="6" s="1"/>
  <c r="T210" i="1"/>
  <c r="P210" i="1"/>
  <c r="O210" i="1"/>
  <c r="D210" i="1"/>
  <c r="AD210" i="1" s="1"/>
  <c r="AC209" i="1"/>
  <c r="U209" i="1"/>
  <c r="T209" i="1"/>
  <c r="AB209" i="1" s="1"/>
  <c r="AD209" i="1" s="1"/>
  <c r="P209" i="1"/>
  <c r="O209" i="1"/>
  <c r="D209" i="1"/>
  <c r="U208" i="1"/>
  <c r="K90" i="6" s="1"/>
  <c r="T208" i="1"/>
  <c r="P208" i="1"/>
  <c r="O208" i="1"/>
  <c r="D208" i="1"/>
  <c r="AC208" i="1" s="1"/>
  <c r="U207" i="1"/>
  <c r="K96" i="6" s="1"/>
  <c r="T207" i="1"/>
  <c r="P207" i="1"/>
  <c r="O207" i="1"/>
  <c r="D207" i="1"/>
  <c r="U206" i="1"/>
  <c r="T206" i="1"/>
  <c r="P206" i="1"/>
  <c r="O206" i="1"/>
  <c r="D206" i="1"/>
  <c r="AA205" i="1"/>
  <c r="U205" i="1"/>
  <c r="K93" i="6" s="1"/>
  <c r="T205" i="1"/>
  <c r="P205" i="1"/>
  <c r="O205" i="1"/>
  <c r="D205" i="1"/>
  <c r="AD205" i="1" s="1"/>
  <c r="AB204" i="1"/>
  <c r="AC204" i="1" s="1"/>
  <c r="AA204" i="1"/>
  <c r="V204" i="1"/>
  <c r="W204" i="1" s="1"/>
  <c r="U204" i="1"/>
  <c r="K92" i="6" s="1"/>
  <c r="T204" i="1"/>
  <c r="P204" i="1"/>
  <c r="O204" i="1"/>
  <c r="D204" i="1"/>
  <c r="AD204" i="1" s="1"/>
  <c r="AC203" i="1"/>
  <c r="AB203" i="1"/>
  <c r="AA203" i="1"/>
  <c r="U203" i="1"/>
  <c r="T203" i="1"/>
  <c r="P203" i="1"/>
  <c r="O203" i="1"/>
  <c r="D203" i="1"/>
  <c r="E84" i="5" s="1"/>
  <c r="AC202" i="1"/>
  <c r="AA202" i="1"/>
  <c r="U202" i="1"/>
  <c r="K85" i="6" s="1"/>
  <c r="T202" i="1"/>
  <c r="P202" i="1"/>
  <c r="O202" i="1"/>
  <c r="D202" i="1"/>
  <c r="AA201" i="1"/>
  <c r="V201" i="1"/>
  <c r="U201" i="1"/>
  <c r="T201" i="1"/>
  <c r="P201" i="1"/>
  <c r="O201" i="1"/>
  <c r="D201" i="1"/>
  <c r="AD201" i="1" s="1"/>
  <c r="AD200" i="1"/>
  <c r="AB200" i="1"/>
  <c r="U200" i="1"/>
  <c r="T200" i="1"/>
  <c r="P200" i="1"/>
  <c r="O200" i="1"/>
  <c r="D200" i="1"/>
  <c r="AC200" i="1" s="1"/>
  <c r="AB199" i="1"/>
  <c r="V199" i="1"/>
  <c r="W199" i="1" s="1"/>
  <c r="U199" i="1"/>
  <c r="T199" i="1"/>
  <c r="P199" i="1"/>
  <c r="O199" i="1"/>
  <c r="D199" i="1"/>
  <c r="AD198" i="1"/>
  <c r="AB198" i="1"/>
  <c r="AA198" i="1"/>
  <c r="W198" i="1"/>
  <c r="V198" i="1"/>
  <c r="U198" i="1"/>
  <c r="T198" i="1"/>
  <c r="P198" i="1"/>
  <c r="O198" i="1"/>
  <c r="D198" i="1"/>
  <c r="AC198" i="1" s="1"/>
  <c r="AA197" i="1"/>
  <c r="V197" i="1"/>
  <c r="W197" i="1" s="1"/>
  <c r="U197" i="1"/>
  <c r="T197" i="1"/>
  <c r="P197" i="1"/>
  <c r="O197" i="1"/>
  <c r="AB197" i="1" s="1"/>
  <c r="D197" i="1"/>
  <c r="AD196" i="1"/>
  <c r="AB196" i="1"/>
  <c r="AC196" i="1" s="1"/>
  <c r="AA196" i="1"/>
  <c r="V196" i="1"/>
  <c r="W196" i="1" s="1"/>
  <c r="U196" i="1"/>
  <c r="T196" i="1"/>
  <c r="P196" i="1"/>
  <c r="O196" i="1"/>
  <c r="D196" i="1"/>
  <c r="U195" i="1"/>
  <c r="T195" i="1"/>
  <c r="P195" i="1"/>
  <c r="O195" i="1"/>
  <c r="D195" i="1"/>
  <c r="AD195" i="1" s="1"/>
  <c r="AC194" i="1"/>
  <c r="AB194" i="1"/>
  <c r="AD194" i="1" s="1"/>
  <c r="V194" i="1"/>
  <c r="W194" i="1" s="1"/>
  <c r="U194" i="1"/>
  <c r="AA194" i="1" s="1"/>
  <c r="T194" i="1"/>
  <c r="P194" i="1"/>
  <c r="O194" i="1"/>
  <c r="D194" i="1"/>
  <c r="U193" i="1"/>
  <c r="T193" i="1"/>
  <c r="P193" i="1"/>
  <c r="O193" i="1"/>
  <c r="D193" i="1"/>
  <c r="AD192" i="1"/>
  <c r="AC192" i="1"/>
  <c r="AB192" i="1"/>
  <c r="AA192" i="1"/>
  <c r="W192" i="1"/>
  <c r="V192" i="1"/>
  <c r="U192" i="1"/>
  <c r="T192" i="1"/>
  <c r="P192" i="1"/>
  <c r="O192" i="1"/>
  <c r="D192" i="1"/>
  <c r="U191" i="1"/>
  <c r="T191" i="1"/>
  <c r="AB191" i="1" s="1"/>
  <c r="AD191" i="1" s="1"/>
  <c r="P191" i="1"/>
  <c r="O191" i="1"/>
  <c r="D191" i="1"/>
  <c r="AC191" i="1" s="1"/>
  <c r="AD190" i="1"/>
  <c r="AC190" i="1"/>
  <c r="AB190" i="1"/>
  <c r="W190" i="1"/>
  <c r="U190" i="1"/>
  <c r="AA190" i="1" s="1"/>
  <c r="T190" i="1"/>
  <c r="P190" i="1"/>
  <c r="O190" i="1"/>
  <c r="V190" i="1" s="1"/>
  <c r="D190" i="1"/>
  <c r="AC189" i="1"/>
  <c r="U189" i="1"/>
  <c r="T189" i="1"/>
  <c r="P189" i="1"/>
  <c r="O189" i="1"/>
  <c r="D189" i="1"/>
  <c r="AD188" i="1"/>
  <c r="AC188" i="1"/>
  <c r="AB188" i="1"/>
  <c r="V188" i="1"/>
  <c r="W188" i="1" s="1"/>
  <c r="U188" i="1"/>
  <c r="K84" i="6" s="1"/>
  <c r="T188" i="1"/>
  <c r="P188" i="1"/>
  <c r="O188" i="1"/>
  <c r="D188" i="1"/>
  <c r="AC187" i="1"/>
  <c r="U187" i="1"/>
  <c r="K83" i="6" s="1"/>
  <c r="T187" i="1"/>
  <c r="J83" i="6" s="1"/>
  <c r="P187" i="1"/>
  <c r="O187" i="1"/>
  <c r="D187" i="1"/>
  <c r="AB186" i="1"/>
  <c r="AD186" i="1" s="1"/>
  <c r="AA186" i="1"/>
  <c r="W186" i="1"/>
  <c r="V186" i="1"/>
  <c r="U186" i="1"/>
  <c r="T186" i="1"/>
  <c r="P186" i="1"/>
  <c r="O186" i="1"/>
  <c r="D186" i="1"/>
  <c r="AC186" i="1" s="1"/>
  <c r="U185" i="1"/>
  <c r="T185" i="1"/>
  <c r="P185" i="1"/>
  <c r="O185" i="1"/>
  <c r="V185" i="1" s="1"/>
  <c r="W185" i="1" s="1"/>
  <c r="D185" i="1"/>
  <c r="U184" i="1"/>
  <c r="T184" i="1"/>
  <c r="P184" i="1"/>
  <c r="O184" i="1"/>
  <c r="D184" i="1"/>
  <c r="AC184" i="1" s="1"/>
  <c r="AD183" i="1"/>
  <c r="U183" i="1"/>
  <c r="T183" i="1"/>
  <c r="AA183" i="1" s="1"/>
  <c r="P183" i="1"/>
  <c r="O183" i="1"/>
  <c r="D183" i="1"/>
  <c r="AD182" i="1"/>
  <c r="AB182" i="1"/>
  <c r="AA182" i="1"/>
  <c r="V182" i="1"/>
  <c r="U182" i="1"/>
  <c r="T182" i="1"/>
  <c r="P182" i="1"/>
  <c r="O182" i="1"/>
  <c r="D182" i="1"/>
  <c r="U181" i="1"/>
  <c r="T181" i="1"/>
  <c r="P181" i="1"/>
  <c r="O181" i="1"/>
  <c r="D181" i="1"/>
  <c r="AC181" i="1" s="1"/>
  <c r="AC180" i="1"/>
  <c r="U180" i="1"/>
  <c r="T180" i="1"/>
  <c r="A180" i="1" s="1"/>
  <c r="P180" i="1"/>
  <c r="O180" i="1"/>
  <c r="D180" i="1"/>
  <c r="U179" i="1"/>
  <c r="T179" i="1"/>
  <c r="P179" i="1"/>
  <c r="O179" i="1"/>
  <c r="D179" i="1"/>
  <c r="U178" i="1"/>
  <c r="T178" i="1"/>
  <c r="P178" i="1"/>
  <c r="O178" i="1"/>
  <c r="D178" i="1"/>
  <c r="U177" i="1"/>
  <c r="T177" i="1"/>
  <c r="P177" i="1"/>
  <c r="O177" i="1"/>
  <c r="D177" i="1"/>
  <c r="AD176" i="1"/>
  <c r="U176" i="1"/>
  <c r="T176" i="1"/>
  <c r="P176" i="1"/>
  <c r="O176" i="1"/>
  <c r="V176" i="1" s="1"/>
  <c r="D176" i="1"/>
  <c r="V175" i="1"/>
  <c r="W175" i="1" s="1"/>
  <c r="U175" i="1"/>
  <c r="T175" i="1"/>
  <c r="AB175" i="1" s="1"/>
  <c r="P175" i="1"/>
  <c r="AA175" i="1" s="1"/>
  <c r="O175" i="1"/>
  <c r="D175" i="1"/>
  <c r="AC174" i="1"/>
  <c r="U174" i="1"/>
  <c r="T174" i="1"/>
  <c r="P174" i="1"/>
  <c r="O174" i="1"/>
  <c r="D174" i="1"/>
  <c r="U173" i="1"/>
  <c r="T173" i="1"/>
  <c r="P173" i="1"/>
  <c r="O173" i="1"/>
  <c r="D173" i="1"/>
  <c r="U172" i="1"/>
  <c r="T172" i="1"/>
  <c r="A172" i="1" s="1"/>
  <c r="P172" i="1"/>
  <c r="O172" i="1"/>
  <c r="D172" i="1"/>
  <c r="U171" i="1"/>
  <c r="T171" i="1"/>
  <c r="P171" i="1"/>
  <c r="O171" i="1"/>
  <c r="D171" i="1"/>
  <c r="U170" i="1"/>
  <c r="AA170" i="1" s="1"/>
  <c r="T170" i="1"/>
  <c r="P170" i="1"/>
  <c r="O170" i="1"/>
  <c r="D170" i="1"/>
  <c r="AC170" i="1" s="1"/>
  <c r="AC169" i="1"/>
  <c r="U169" i="1"/>
  <c r="T169" i="1"/>
  <c r="P169" i="1"/>
  <c r="O169" i="1"/>
  <c r="D169" i="1"/>
  <c r="AC168" i="1"/>
  <c r="U168" i="1"/>
  <c r="T168" i="1"/>
  <c r="P168" i="1"/>
  <c r="O168" i="1"/>
  <c r="D168" i="1"/>
  <c r="AD167" i="1"/>
  <c r="AB167" i="1"/>
  <c r="V167" i="1"/>
  <c r="U167" i="1"/>
  <c r="T167" i="1"/>
  <c r="P167" i="1"/>
  <c r="O167" i="1"/>
  <c r="D167" i="1"/>
  <c r="AC167" i="1" s="1"/>
  <c r="AD166" i="1"/>
  <c r="U166" i="1"/>
  <c r="T166" i="1"/>
  <c r="P166" i="1"/>
  <c r="O166" i="1"/>
  <c r="D166" i="1"/>
  <c r="AD165" i="1"/>
  <c r="AC165" i="1"/>
  <c r="AA165" i="1"/>
  <c r="V165" i="1"/>
  <c r="W165" i="1" s="1"/>
  <c r="U165" i="1"/>
  <c r="T165" i="1"/>
  <c r="P165" i="1"/>
  <c r="O165" i="1"/>
  <c r="AB165" i="1" s="1"/>
  <c r="D165" i="1"/>
  <c r="AA164" i="1"/>
  <c r="V164" i="1"/>
  <c r="W164" i="1" s="1"/>
  <c r="U164" i="1"/>
  <c r="T164" i="1"/>
  <c r="AB164" i="1" s="1"/>
  <c r="P164" i="1"/>
  <c r="O164" i="1"/>
  <c r="D164" i="1"/>
  <c r="U163" i="1"/>
  <c r="T163" i="1"/>
  <c r="V163" i="1" s="1"/>
  <c r="W163" i="1" s="1"/>
  <c r="P163" i="1"/>
  <c r="O163" i="1"/>
  <c r="D163" i="1"/>
  <c r="AC163" i="1" s="1"/>
  <c r="AB162" i="1"/>
  <c r="V162" i="1"/>
  <c r="W162" i="1" s="1"/>
  <c r="U162" i="1"/>
  <c r="AA162" i="1" s="1"/>
  <c r="T162" i="1"/>
  <c r="P162" i="1"/>
  <c r="O162" i="1"/>
  <c r="D162" i="1"/>
  <c r="U161" i="1"/>
  <c r="T161" i="1"/>
  <c r="P161" i="1"/>
  <c r="O161" i="1"/>
  <c r="D161" i="1"/>
  <c r="AC160" i="1"/>
  <c r="AA160" i="1"/>
  <c r="V160" i="1"/>
  <c r="W160" i="1" s="1"/>
  <c r="U160" i="1"/>
  <c r="T160" i="1"/>
  <c r="P160" i="1"/>
  <c r="O160" i="1"/>
  <c r="AB160" i="1" s="1"/>
  <c r="D160" i="1"/>
  <c r="AD160" i="1" s="1"/>
  <c r="AD159" i="1"/>
  <c r="U159" i="1"/>
  <c r="K81" i="6" s="1"/>
  <c r="T159" i="1"/>
  <c r="P159" i="1"/>
  <c r="O159" i="1"/>
  <c r="D159" i="1"/>
  <c r="AD158" i="1"/>
  <c r="U158" i="1"/>
  <c r="K80" i="6" s="1"/>
  <c r="T158" i="1"/>
  <c r="P158" i="1"/>
  <c r="O158" i="1"/>
  <c r="D158" i="1"/>
  <c r="U157" i="1"/>
  <c r="T157" i="1"/>
  <c r="P157" i="1"/>
  <c r="O157" i="1"/>
  <c r="D157" i="1"/>
  <c r="AC157" i="1" s="1"/>
  <c r="AD156" i="1"/>
  <c r="U156" i="1"/>
  <c r="T156" i="1"/>
  <c r="P156" i="1"/>
  <c r="O156" i="1"/>
  <c r="D156" i="1"/>
  <c r="U155" i="1"/>
  <c r="K78" i="6" s="1"/>
  <c r="T155" i="1"/>
  <c r="P155" i="1"/>
  <c r="O155" i="1"/>
  <c r="D155" i="1"/>
  <c r="AD155" i="1" s="1"/>
  <c r="AC154" i="1"/>
  <c r="U154" i="1"/>
  <c r="T154" i="1"/>
  <c r="P154" i="1"/>
  <c r="O154" i="1"/>
  <c r="D154" i="1"/>
  <c r="U153" i="1"/>
  <c r="T153" i="1"/>
  <c r="P153" i="1"/>
  <c r="O153" i="1"/>
  <c r="D153" i="1"/>
  <c r="AC153" i="1" s="1"/>
  <c r="AD152" i="1"/>
  <c r="AB152" i="1"/>
  <c r="AC152" i="1" s="1"/>
  <c r="AA152" i="1"/>
  <c r="V152" i="1"/>
  <c r="W152" i="1" s="1"/>
  <c r="U152" i="1"/>
  <c r="K77" i="6" s="1"/>
  <c r="T152" i="1"/>
  <c r="J77" i="6" s="1"/>
  <c r="P152" i="1"/>
  <c r="O152" i="1"/>
  <c r="D152" i="1"/>
  <c r="AD151" i="1"/>
  <c r="U151" i="1"/>
  <c r="T151" i="1"/>
  <c r="AB151" i="1" s="1"/>
  <c r="P151" i="1"/>
  <c r="O151" i="1"/>
  <c r="D151" i="1"/>
  <c r="AC151" i="1" s="1"/>
  <c r="U150" i="1"/>
  <c r="K76" i="6" s="1"/>
  <c r="T150" i="1"/>
  <c r="AB150" i="1" s="1"/>
  <c r="P150" i="1"/>
  <c r="O150" i="1"/>
  <c r="D150" i="1"/>
  <c r="AD150" i="1" s="1"/>
  <c r="U149" i="1"/>
  <c r="T149" i="1"/>
  <c r="P149" i="1"/>
  <c r="O149" i="1"/>
  <c r="D149" i="1"/>
  <c r="U148" i="1"/>
  <c r="K75" i="6" s="1"/>
  <c r="T148" i="1"/>
  <c r="P148" i="1"/>
  <c r="O148" i="1"/>
  <c r="I75" i="6" s="1"/>
  <c r="D148" i="1"/>
  <c r="U147" i="1"/>
  <c r="T147" i="1"/>
  <c r="P147" i="1"/>
  <c r="O147" i="1"/>
  <c r="D147" i="1"/>
  <c r="AB146" i="1"/>
  <c r="AD146" i="1" s="1"/>
  <c r="AA146" i="1"/>
  <c r="U146" i="1"/>
  <c r="T146" i="1"/>
  <c r="P146" i="1"/>
  <c r="O146" i="1"/>
  <c r="D146" i="1"/>
  <c r="AC146" i="1" s="1"/>
  <c r="U145" i="1"/>
  <c r="T145" i="1"/>
  <c r="P145" i="1"/>
  <c r="O145" i="1"/>
  <c r="D145" i="1"/>
  <c r="AC145" i="1" s="1"/>
  <c r="AD144" i="1"/>
  <c r="V144" i="1"/>
  <c r="U144" i="1"/>
  <c r="T144" i="1"/>
  <c r="P144" i="1"/>
  <c r="O144" i="1"/>
  <c r="D144" i="1"/>
  <c r="U143" i="1"/>
  <c r="K74" i="6" s="1"/>
  <c r="T143" i="1"/>
  <c r="P143" i="1"/>
  <c r="O143" i="1"/>
  <c r="D143" i="1"/>
  <c r="AD143" i="1" s="1"/>
  <c r="U142" i="1"/>
  <c r="T142" i="1"/>
  <c r="P142" i="1"/>
  <c r="O142" i="1"/>
  <c r="D142" i="1"/>
  <c r="AD142" i="1" s="1"/>
  <c r="AD141" i="1"/>
  <c r="U141" i="1"/>
  <c r="T141" i="1"/>
  <c r="P141" i="1"/>
  <c r="O141" i="1"/>
  <c r="D141" i="1"/>
  <c r="U140" i="1"/>
  <c r="T140" i="1"/>
  <c r="P140" i="1"/>
  <c r="O140" i="1"/>
  <c r="D140" i="1"/>
  <c r="U139" i="1"/>
  <c r="T139" i="1"/>
  <c r="P139" i="1"/>
  <c r="O139" i="1"/>
  <c r="V139" i="1" s="1"/>
  <c r="D139" i="1"/>
  <c r="AD139" i="1" s="1"/>
  <c r="AD138" i="1"/>
  <c r="AB138" i="1"/>
  <c r="AC138" i="1" s="1"/>
  <c r="V138" i="1"/>
  <c r="W138" i="1" s="1"/>
  <c r="U138" i="1"/>
  <c r="AA138" i="1" s="1"/>
  <c r="T138" i="1"/>
  <c r="P138" i="1"/>
  <c r="O138" i="1"/>
  <c r="D138" i="1"/>
  <c r="V137" i="1"/>
  <c r="W137" i="1" s="1"/>
  <c r="U137" i="1"/>
  <c r="T137" i="1"/>
  <c r="P137" i="1"/>
  <c r="O137" i="1"/>
  <c r="D137" i="1"/>
  <c r="U136" i="1"/>
  <c r="AA136" i="1" s="1"/>
  <c r="T136" i="1"/>
  <c r="P136" i="1"/>
  <c r="O136" i="1"/>
  <c r="V136" i="1" s="1"/>
  <c r="D136" i="1"/>
  <c r="U135" i="1"/>
  <c r="T135" i="1"/>
  <c r="P135" i="1"/>
  <c r="O135" i="1"/>
  <c r="D135" i="1"/>
  <c r="AC135" i="1" s="1"/>
  <c r="AA134" i="1"/>
  <c r="U134" i="1"/>
  <c r="T134" i="1"/>
  <c r="P134" i="1"/>
  <c r="O134" i="1"/>
  <c r="D134" i="1"/>
  <c r="AD133" i="1"/>
  <c r="W133" i="1"/>
  <c r="V133" i="1"/>
  <c r="U133" i="1"/>
  <c r="T133" i="1"/>
  <c r="P133" i="1"/>
  <c r="O133" i="1"/>
  <c r="D133" i="1"/>
  <c r="U132" i="1"/>
  <c r="T132" i="1"/>
  <c r="P132" i="1"/>
  <c r="O132" i="1"/>
  <c r="V132" i="1" s="1"/>
  <c r="D132" i="1"/>
  <c r="V131" i="1"/>
  <c r="U131" i="1"/>
  <c r="T131" i="1"/>
  <c r="P131" i="1"/>
  <c r="O131" i="1"/>
  <c r="D131" i="1"/>
  <c r="AD130" i="1"/>
  <c r="U130" i="1"/>
  <c r="T130" i="1"/>
  <c r="P130" i="1"/>
  <c r="O130" i="1"/>
  <c r="D130" i="1"/>
  <c r="V129" i="1"/>
  <c r="U129" i="1"/>
  <c r="T129" i="1"/>
  <c r="AB129" i="1" s="1"/>
  <c r="P129" i="1"/>
  <c r="O129" i="1"/>
  <c r="D129" i="1"/>
  <c r="U128" i="1"/>
  <c r="T128" i="1"/>
  <c r="P128" i="1"/>
  <c r="O128" i="1"/>
  <c r="D128" i="1"/>
  <c r="AD128" i="1" s="1"/>
  <c r="AD127" i="1"/>
  <c r="U127" i="1"/>
  <c r="T127" i="1"/>
  <c r="P127" i="1"/>
  <c r="O127" i="1"/>
  <c r="D127" i="1"/>
  <c r="AB126" i="1"/>
  <c r="AA126" i="1"/>
  <c r="V126" i="1"/>
  <c r="W126" i="1" s="1"/>
  <c r="U126" i="1"/>
  <c r="T126" i="1"/>
  <c r="P126" i="1"/>
  <c r="O126" i="1"/>
  <c r="D126" i="1"/>
  <c r="AC125" i="1"/>
  <c r="AB125" i="1"/>
  <c r="AD125" i="1" s="1"/>
  <c r="AA125" i="1"/>
  <c r="U125" i="1"/>
  <c r="T125" i="1"/>
  <c r="P125" i="1"/>
  <c r="O125" i="1"/>
  <c r="D125" i="1"/>
  <c r="AC124" i="1"/>
  <c r="AB124" i="1"/>
  <c r="AD124" i="1" s="1"/>
  <c r="V124" i="1"/>
  <c r="U124" i="1"/>
  <c r="AA124" i="1" s="1"/>
  <c r="T124" i="1"/>
  <c r="P124" i="1"/>
  <c r="O124" i="1"/>
  <c r="D124" i="1"/>
  <c r="AD123" i="1"/>
  <c r="AC123" i="1"/>
  <c r="AB123" i="1"/>
  <c r="AA123" i="1"/>
  <c r="W123" i="1"/>
  <c r="V123" i="1"/>
  <c r="U123" i="1"/>
  <c r="T123" i="1"/>
  <c r="P123" i="1"/>
  <c r="O123" i="1"/>
  <c r="D123" i="1"/>
  <c r="AC122" i="1"/>
  <c r="AB122" i="1"/>
  <c r="AD122" i="1" s="1"/>
  <c r="AA122" i="1"/>
  <c r="V122" i="1"/>
  <c r="W122" i="1" s="1"/>
  <c r="U122" i="1"/>
  <c r="T122" i="1"/>
  <c r="P122" i="1"/>
  <c r="O122" i="1"/>
  <c r="D122" i="1"/>
  <c r="AB121" i="1"/>
  <c r="W121" i="1"/>
  <c r="U121" i="1"/>
  <c r="T121" i="1"/>
  <c r="P121" i="1"/>
  <c r="O121" i="1"/>
  <c r="V121" i="1" s="1"/>
  <c r="D121" i="1"/>
  <c r="AD121" i="1" s="1"/>
  <c r="AC120" i="1"/>
  <c r="AB120" i="1"/>
  <c r="AD120" i="1" s="1"/>
  <c r="U120" i="1"/>
  <c r="T120" i="1"/>
  <c r="P120" i="1"/>
  <c r="O120" i="1"/>
  <c r="D120" i="1"/>
  <c r="AC119" i="1"/>
  <c r="U119" i="1"/>
  <c r="T119" i="1"/>
  <c r="P119" i="1"/>
  <c r="O119" i="1"/>
  <c r="D119" i="1"/>
  <c r="AD118" i="1"/>
  <c r="U118" i="1"/>
  <c r="K73" i="6" s="1"/>
  <c r="T118" i="1"/>
  <c r="J73" i="6" s="1"/>
  <c r="P118" i="1"/>
  <c r="O118" i="1"/>
  <c r="D118" i="1"/>
  <c r="AD117" i="1"/>
  <c r="AB117" i="1"/>
  <c r="U117" i="1"/>
  <c r="K72" i="6" s="1"/>
  <c r="T117" i="1"/>
  <c r="P117" i="1"/>
  <c r="O117" i="1"/>
  <c r="D117" i="1"/>
  <c r="AB116" i="1"/>
  <c r="AA116" i="1"/>
  <c r="W116" i="1"/>
  <c r="V116" i="1"/>
  <c r="U116" i="1"/>
  <c r="K71" i="6" s="1"/>
  <c r="T116" i="1"/>
  <c r="P116" i="1"/>
  <c r="O116" i="1"/>
  <c r="I71" i="6" s="1"/>
  <c r="D116" i="1"/>
  <c r="AD116" i="1" s="1"/>
  <c r="U115" i="1"/>
  <c r="K70" i="6" s="1"/>
  <c r="T115" i="1"/>
  <c r="P115" i="1"/>
  <c r="O115" i="1"/>
  <c r="I70" i="6" s="1"/>
  <c r="D115" i="1"/>
  <c r="AD114" i="1"/>
  <c r="AB114" i="1"/>
  <c r="AC114" i="1" s="1"/>
  <c r="W114" i="1"/>
  <c r="V114" i="1"/>
  <c r="U114" i="1"/>
  <c r="K69" i="6" s="1"/>
  <c r="T114" i="1"/>
  <c r="P114" i="1"/>
  <c r="O114" i="1"/>
  <c r="D114" i="1"/>
  <c r="U113" i="1"/>
  <c r="K68" i="6" s="1"/>
  <c r="T113" i="1"/>
  <c r="V113" i="1" s="1"/>
  <c r="P113" i="1"/>
  <c r="O113" i="1"/>
  <c r="D113" i="1"/>
  <c r="AD113" i="1" s="1"/>
  <c r="AD112" i="1"/>
  <c r="AB112" i="1"/>
  <c r="AC112" i="1" s="1"/>
  <c r="AA112" i="1"/>
  <c r="W112" i="1"/>
  <c r="V112" i="1"/>
  <c r="U112" i="1"/>
  <c r="T112" i="1"/>
  <c r="P112" i="1"/>
  <c r="O112" i="1"/>
  <c r="D112" i="1"/>
  <c r="U111" i="1"/>
  <c r="K67" i="6" s="1"/>
  <c r="T111" i="1"/>
  <c r="P111" i="1"/>
  <c r="O111" i="1"/>
  <c r="I67" i="6" s="1"/>
  <c r="D111" i="1"/>
  <c r="AD111" i="1" s="1"/>
  <c r="AD110" i="1"/>
  <c r="AB110" i="1"/>
  <c r="AC110" i="1" s="1"/>
  <c r="AA110" i="1"/>
  <c r="W110" i="1"/>
  <c r="U110" i="1"/>
  <c r="T110" i="1"/>
  <c r="P110" i="1"/>
  <c r="O110" i="1"/>
  <c r="V110" i="1" s="1"/>
  <c r="D110" i="1"/>
  <c r="AD109" i="1"/>
  <c r="U109" i="1"/>
  <c r="K66" i="6" s="1"/>
  <c r="T109" i="1"/>
  <c r="AB109" i="1" s="1"/>
  <c r="AC109" i="1" s="1"/>
  <c r="P109" i="1"/>
  <c r="O109" i="1"/>
  <c r="D109" i="1"/>
  <c r="AD108" i="1"/>
  <c r="AB108" i="1"/>
  <c r="AC108" i="1" s="1"/>
  <c r="U108" i="1"/>
  <c r="T108" i="1"/>
  <c r="AA108" i="1" s="1"/>
  <c r="P108" i="1"/>
  <c r="O108" i="1"/>
  <c r="D108" i="1"/>
  <c r="AB107" i="1"/>
  <c r="U107" i="1"/>
  <c r="K63" i="6" s="1"/>
  <c r="T107" i="1"/>
  <c r="P107" i="1"/>
  <c r="O107" i="1"/>
  <c r="D107" i="1"/>
  <c r="AD106" i="1"/>
  <c r="AB106" i="1"/>
  <c r="V106" i="1"/>
  <c r="U106" i="1"/>
  <c r="T106" i="1"/>
  <c r="P106" i="1"/>
  <c r="O106" i="1"/>
  <c r="D106" i="1"/>
  <c r="AC106" i="1" s="1"/>
  <c r="V105" i="1"/>
  <c r="W105" i="1" s="1"/>
  <c r="U105" i="1"/>
  <c r="K58" i="6" s="1"/>
  <c r="T105" i="1"/>
  <c r="P105" i="1"/>
  <c r="O105" i="1"/>
  <c r="I58" i="6" s="1"/>
  <c r="D105" i="1"/>
  <c r="AA104" i="1"/>
  <c r="U104" i="1"/>
  <c r="K56" i="6" s="1"/>
  <c r="T104" i="1"/>
  <c r="P104" i="1"/>
  <c r="O104" i="1"/>
  <c r="D104" i="1"/>
  <c r="AC104" i="1" s="1"/>
  <c r="U103" i="1"/>
  <c r="T103" i="1"/>
  <c r="AA103" i="1" s="1"/>
  <c r="P103" i="1"/>
  <c r="O103" i="1"/>
  <c r="D103" i="1"/>
  <c r="AC102" i="1"/>
  <c r="AB102" i="1"/>
  <c r="AA102" i="1"/>
  <c r="V102" i="1"/>
  <c r="W102" i="1" s="1"/>
  <c r="U102" i="1"/>
  <c r="K55" i="6" s="1"/>
  <c r="T102" i="1"/>
  <c r="P102" i="1"/>
  <c r="O102" i="1"/>
  <c r="D102" i="1"/>
  <c r="AD101" i="1"/>
  <c r="AC101" i="1"/>
  <c r="AB101" i="1"/>
  <c r="W101" i="1"/>
  <c r="V101" i="1"/>
  <c r="U101" i="1"/>
  <c r="K60" i="6" s="1"/>
  <c r="T101" i="1"/>
  <c r="P101" i="1"/>
  <c r="AA101" i="1" s="1"/>
  <c r="O101" i="1"/>
  <c r="I60" i="6" s="1"/>
  <c r="D101" i="1"/>
  <c r="AB100" i="1"/>
  <c r="AA100" i="1"/>
  <c r="W100" i="1"/>
  <c r="V100" i="1"/>
  <c r="U100" i="1"/>
  <c r="T100" i="1"/>
  <c r="P100" i="1"/>
  <c r="O100" i="1"/>
  <c r="D100" i="1"/>
  <c r="AD100" i="1" s="1"/>
  <c r="AA99" i="1"/>
  <c r="U99" i="1"/>
  <c r="T99" i="1"/>
  <c r="P99" i="1"/>
  <c r="O99" i="1"/>
  <c r="D99" i="1"/>
  <c r="AD98" i="1"/>
  <c r="AB98" i="1"/>
  <c r="AC98" i="1" s="1"/>
  <c r="AA98" i="1"/>
  <c r="W98" i="1"/>
  <c r="U98" i="1"/>
  <c r="T98" i="1"/>
  <c r="P98" i="1"/>
  <c r="O98" i="1"/>
  <c r="V98" i="1" s="1"/>
  <c r="D98" i="1"/>
  <c r="W97" i="1"/>
  <c r="U97" i="1"/>
  <c r="T97" i="1"/>
  <c r="P97" i="1"/>
  <c r="O97" i="1"/>
  <c r="V97" i="1" s="1"/>
  <c r="D97" i="1"/>
  <c r="AD96" i="1"/>
  <c r="AB96" i="1"/>
  <c r="AC96" i="1" s="1"/>
  <c r="AA96" i="1"/>
  <c r="U96" i="1"/>
  <c r="K62" i="6" s="1"/>
  <c r="T96" i="1"/>
  <c r="J62" i="6" s="1"/>
  <c r="P96" i="1"/>
  <c r="O96" i="1"/>
  <c r="D96" i="1"/>
  <c r="U95" i="1"/>
  <c r="T95" i="1"/>
  <c r="P95" i="1"/>
  <c r="O95" i="1"/>
  <c r="D95" i="1"/>
  <c r="AC95" i="1" s="1"/>
  <c r="AC94" i="1"/>
  <c r="AA94" i="1"/>
  <c r="V94" i="1"/>
  <c r="W94" i="1" s="1"/>
  <c r="U94" i="1"/>
  <c r="K61" i="6" s="1"/>
  <c r="T94" i="1"/>
  <c r="P94" i="1"/>
  <c r="O94" i="1"/>
  <c r="D94" i="1"/>
  <c r="V93" i="1"/>
  <c r="W93" i="1" s="1"/>
  <c r="U93" i="1"/>
  <c r="T93" i="1"/>
  <c r="P93" i="1"/>
  <c r="O93" i="1"/>
  <c r="AA93" i="1" s="1"/>
  <c r="D93" i="1"/>
  <c r="AC92" i="1"/>
  <c r="AB92" i="1"/>
  <c r="AD92" i="1" s="1"/>
  <c r="V92" i="1"/>
  <c r="W92" i="1" s="1"/>
  <c r="U92" i="1"/>
  <c r="AA92" i="1" s="1"/>
  <c r="T92" i="1"/>
  <c r="P92" i="1"/>
  <c r="O92" i="1"/>
  <c r="D92" i="1"/>
  <c r="V91" i="1"/>
  <c r="W91" i="1" s="1"/>
  <c r="U91" i="1"/>
  <c r="T91" i="1"/>
  <c r="P91" i="1"/>
  <c r="O91" i="1"/>
  <c r="I54" i="6" s="1"/>
  <c r="D91" i="1"/>
  <c r="AD90" i="1"/>
  <c r="AB90" i="1"/>
  <c r="AC90" i="1" s="1"/>
  <c r="AA90" i="1"/>
  <c r="W90" i="1"/>
  <c r="V90" i="1"/>
  <c r="U90" i="1"/>
  <c r="K59" i="6" s="1"/>
  <c r="T90" i="1"/>
  <c r="P90" i="1"/>
  <c r="O90" i="1"/>
  <c r="D90" i="1"/>
  <c r="AC89" i="1"/>
  <c r="U89" i="1"/>
  <c r="T89" i="1"/>
  <c r="P89" i="1"/>
  <c r="O89" i="1"/>
  <c r="D89" i="1"/>
  <c r="AC88" i="1"/>
  <c r="AB88" i="1"/>
  <c r="U88" i="1"/>
  <c r="T88" i="1"/>
  <c r="P88" i="1"/>
  <c r="O88" i="1"/>
  <c r="D88" i="1"/>
  <c r="AD87" i="1"/>
  <c r="U87" i="1"/>
  <c r="T87" i="1"/>
  <c r="P87" i="1"/>
  <c r="O87" i="1"/>
  <c r="V87" i="1" s="1"/>
  <c r="D87" i="1"/>
  <c r="AC86" i="1"/>
  <c r="AB86" i="1"/>
  <c r="AD86" i="1" s="1"/>
  <c r="W86" i="1"/>
  <c r="U86" i="1"/>
  <c r="T86" i="1"/>
  <c r="P86" i="1"/>
  <c r="O86" i="1"/>
  <c r="V86" i="1" s="1"/>
  <c r="D86" i="1"/>
  <c r="AC85" i="1"/>
  <c r="V85" i="1"/>
  <c r="W85" i="1" s="1"/>
  <c r="U85" i="1"/>
  <c r="T85" i="1"/>
  <c r="P85" i="1"/>
  <c r="O85" i="1"/>
  <c r="D85" i="1"/>
  <c r="AD84" i="1"/>
  <c r="U84" i="1"/>
  <c r="AA84" i="1" s="1"/>
  <c r="T84" i="1"/>
  <c r="P84" i="1"/>
  <c r="O84" i="1"/>
  <c r="D84" i="1"/>
  <c r="AD83" i="1"/>
  <c r="AB83" i="1"/>
  <c r="V83" i="1"/>
  <c r="W83" i="1" s="1"/>
  <c r="U83" i="1"/>
  <c r="AA83" i="1" s="1"/>
  <c r="T83" i="1"/>
  <c r="P83" i="1"/>
  <c r="O83" i="1"/>
  <c r="D83" i="1"/>
  <c r="AC83" i="1" s="1"/>
  <c r="AD82" i="1"/>
  <c r="U82" i="1"/>
  <c r="K49" i="6" s="1"/>
  <c r="T82" i="1"/>
  <c r="P82" i="1"/>
  <c r="O82" i="1"/>
  <c r="D82" i="1"/>
  <c r="AC81" i="1"/>
  <c r="U81" i="1"/>
  <c r="T81" i="1"/>
  <c r="V81" i="1" s="1"/>
  <c r="P81" i="1"/>
  <c r="O81" i="1"/>
  <c r="D81" i="1"/>
  <c r="AB80" i="1"/>
  <c r="V80" i="1"/>
  <c r="U80" i="1"/>
  <c r="T80" i="1"/>
  <c r="P80" i="1"/>
  <c r="AA80" i="1" s="1"/>
  <c r="O80" i="1"/>
  <c r="D80" i="1"/>
  <c r="AD79" i="1"/>
  <c r="AC79" i="1"/>
  <c r="AB79" i="1"/>
  <c r="V79" i="1"/>
  <c r="W79" i="1" s="1"/>
  <c r="U79" i="1"/>
  <c r="T79" i="1"/>
  <c r="P79" i="1"/>
  <c r="O79" i="1"/>
  <c r="I48" i="6" s="1"/>
  <c r="D79" i="1"/>
  <c r="U78" i="1"/>
  <c r="K47" i="6" s="1"/>
  <c r="T78" i="1"/>
  <c r="P78" i="1"/>
  <c r="O78" i="1"/>
  <c r="D78" i="1"/>
  <c r="AD77" i="1"/>
  <c r="AB77" i="1"/>
  <c r="AC77" i="1" s="1"/>
  <c r="U77" i="1"/>
  <c r="T77" i="1"/>
  <c r="P77" i="1"/>
  <c r="O77" i="1"/>
  <c r="D77" i="1"/>
  <c r="AB76" i="1"/>
  <c r="U76" i="1"/>
  <c r="K42" i="6" s="1"/>
  <c r="T76" i="1"/>
  <c r="P76" i="1"/>
  <c r="O76" i="1"/>
  <c r="D76" i="1"/>
  <c r="AD75" i="1"/>
  <c r="U75" i="1"/>
  <c r="K51" i="6" s="1"/>
  <c r="T75" i="1"/>
  <c r="P75" i="1"/>
  <c r="O75" i="1"/>
  <c r="I51" i="6" s="1"/>
  <c r="D75" i="1"/>
  <c r="U74" i="1"/>
  <c r="K50" i="6" s="1"/>
  <c r="T74" i="1"/>
  <c r="P74" i="1"/>
  <c r="O74" i="1"/>
  <c r="D74" i="1"/>
  <c r="AD74" i="1" s="1"/>
  <c r="AD73" i="1"/>
  <c r="U73" i="1"/>
  <c r="T73" i="1"/>
  <c r="AB73" i="1" s="1"/>
  <c r="P73" i="1"/>
  <c r="O73" i="1"/>
  <c r="D73" i="1"/>
  <c r="V72" i="1"/>
  <c r="U72" i="1"/>
  <c r="AA72" i="1" s="1"/>
  <c r="T72" i="1"/>
  <c r="P72" i="1"/>
  <c r="O72" i="1"/>
  <c r="D72" i="1"/>
  <c r="AD71" i="1"/>
  <c r="U71" i="1"/>
  <c r="T71" i="1"/>
  <c r="AB71" i="1" s="1"/>
  <c r="AC71" i="1" s="1"/>
  <c r="P71" i="1"/>
  <c r="O71" i="1"/>
  <c r="D71" i="1"/>
  <c r="U70" i="1"/>
  <c r="T70" i="1"/>
  <c r="P70" i="1"/>
  <c r="O70" i="1"/>
  <c r="D70" i="1"/>
  <c r="AD69" i="1"/>
  <c r="U69" i="1"/>
  <c r="T69" i="1"/>
  <c r="V69" i="1" s="1"/>
  <c r="W69" i="1" s="1"/>
  <c r="P69" i="1"/>
  <c r="O69" i="1"/>
  <c r="D69" i="1"/>
  <c r="AD68" i="1"/>
  <c r="AB68" i="1"/>
  <c r="W68" i="1"/>
  <c r="V68" i="1"/>
  <c r="U68" i="1"/>
  <c r="T68" i="1"/>
  <c r="P68" i="1"/>
  <c r="O68" i="1"/>
  <c r="D68" i="1"/>
  <c r="U67" i="1"/>
  <c r="T67" i="1"/>
  <c r="P67" i="1"/>
  <c r="O67" i="1"/>
  <c r="D67" i="1"/>
  <c r="AC67" i="1" s="1"/>
  <c r="AC66" i="1"/>
  <c r="U66" i="1"/>
  <c r="T66" i="1"/>
  <c r="P66" i="1"/>
  <c r="O66" i="1"/>
  <c r="D66" i="1"/>
  <c r="AC65" i="1"/>
  <c r="U65" i="1"/>
  <c r="T65" i="1"/>
  <c r="P65" i="1"/>
  <c r="O65" i="1"/>
  <c r="D65" i="1"/>
  <c r="AC64" i="1"/>
  <c r="U64" i="1"/>
  <c r="K44" i="6" s="1"/>
  <c r="T64" i="1"/>
  <c r="P64" i="1"/>
  <c r="O64" i="1"/>
  <c r="I44" i="6" s="1"/>
  <c r="D64" i="1"/>
  <c r="AD63" i="1"/>
  <c r="AB63" i="1"/>
  <c r="V63" i="1"/>
  <c r="U63" i="1"/>
  <c r="T63" i="1"/>
  <c r="P63" i="1"/>
  <c r="AA63" i="1" s="1"/>
  <c r="O63" i="1"/>
  <c r="W63" i="1" s="1"/>
  <c r="D63" i="1"/>
  <c r="AC63" i="1" s="1"/>
  <c r="U62" i="1"/>
  <c r="K38" i="6" s="1"/>
  <c r="T62" i="1"/>
  <c r="AB62" i="1" s="1"/>
  <c r="AD62" i="1" s="1"/>
  <c r="P62" i="1"/>
  <c r="O62" i="1"/>
  <c r="D62" i="1"/>
  <c r="U61" i="1"/>
  <c r="K41" i="6" s="1"/>
  <c r="T61" i="1"/>
  <c r="P61" i="1"/>
  <c r="O61" i="1"/>
  <c r="D61" i="1"/>
  <c r="AC61" i="1" s="1"/>
  <c r="AC60" i="1"/>
  <c r="U60" i="1"/>
  <c r="T60" i="1"/>
  <c r="AA60" i="1" s="1"/>
  <c r="P60" i="1"/>
  <c r="O60" i="1"/>
  <c r="D60" i="1"/>
  <c r="U59" i="1"/>
  <c r="K40" i="6" s="1"/>
  <c r="T59" i="1"/>
  <c r="J40" i="6" s="1"/>
  <c r="P59" i="1"/>
  <c r="AA59" i="1" s="1"/>
  <c r="O59" i="1"/>
  <c r="I40" i="6" s="1"/>
  <c r="D59" i="1"/>
  <c r="AD59" i="1" s="1"/>
  <c r="AD58" i="1"/>
  <c r="AB58" i="1"/>
  <c r="AC58" i="1" s="1"/>
  <c r="AA58" i="1"/>
  <c r="U58" i="1"/>
  <c r="K39" i="6" s="1"/>
  <c r="T58" i="1"/>
  <c r="J39" i="6" s="1"/>
  <c r="P58" i="1"/>
  <c r="O58" i="1"/>
  <c r="D58" i="1"/>
  <c r="U57" i="1"/>
  <c r="T57" i="1"/>
  <c r="P57" i="1"/>
  <c r="O57" i="1"/>
  <c r="D57" i="1"/>
  <c r="AD56" i="1"/>
  <c r="AB56" i="1"/>
  <c r="AC56" i="1" s="1"/>
  <c r="AA56" i="1"/>
  <c r="V56" i="1"/>
  <c r="W56" i="1" s="1"/>
  <c r="U56" i="1"/>
  <c r="T56" i="1"/>
  <c r="P56" i="1"/>
  <c r="O56" i="1"/>
  <c r="D56" i="1"/>
  <c r="AB55" i="1"/>
  <c r="U55" i="1"/>
  <c r="T55" i="1"/>
  <c r="P55" i="1"/>
  <c r="O55" i="1"/>
  <c r="D55" i="1"/>
  <c r="U54" i="1"/>
  <c r="T54" i="1"/>
  <c r="A54" i="1" s="1"/>
  <c r="P54" i="1"/>
  <c r="O54" i="1"/>
  <c r="D54" i="1"/>
  <c r="V53" i="1"/>
  <c r="W53" i="1" s="1"/>
  <c r="U53" i="1"/>
  <c r="T53" i="1"/>
  <c r="P53" i="1"/>
  <c r="O53" i="1"/>
  <c r="D53" i="1"/>
  <c r="AC52" i="1"/>
  <c r="U52" i="1"/>
  <c r="T52" i="1"/>
  <c r="AB52" i="1" s="1"/>
  <c r="AD52" i="1" s="1"/>
  <c r="P52" i="1"/>
  <c r="O52" i="1"/>
  <c r="D52" i="1"/>
  <c r="AA51" i="1"/>
  <c r="V51" i="1"/>
  <c r="W51" i="1" s="1"/>
  <c r="U51" i="1"/>
  <c r="K37" i="6" s="1"/>
  <c r="T51" i="1"/>
  <c r="P51" i="1"/>
  <c r="O51" i="1"/>
  <c r="D51" i="1"/>
  <c r="AC51" i="1" s="1"/>
  <c r="AD50" i="1"/>
  <c r="AB50" i="1"/>
  <c r="AC50" i="1" s="1"/>
  <c r="V50" i="1"/>
  <c r="W50" i="1" s="1"/>
  <c r="U50" i="1"/>
  <c r="T50" i="1"/>
  <c r="P50" i="1"/>
  <c r="O50" i="1"/>
  <c r="D50" i="1"/>
  <c r="AD49" i="1"/>
  <c r="U49" i="1"/>
  <c r="K33" i="6" s="1"/>
  <c r="T49" i="1"/>
  <c r="AA49" i="1" s="1"/>
  <c r="P49" i="1"/>
  <c r="O49" i="1"/>
  <c r="D49" i="1"/>
  <c r="U48" i="1"/>
  <c r="K31" i="6" s="1"/>
  <c r="T48" i="1"/>
  <c r="AA48" i="1" s="1"/>
  <c r="P48" i="1"/>
  <c r="O48" i="1"/>
  <c r="D48" i="1"/>
  <c r="AB47" i="1"/>
  <c r="V47" i="1"/>
  <c r="W47" i="1" s="1"/>
  <c r="U47" i="1"/>
  <c r="AA47" i="1" s="1"/>
  <c r="T47" i="1"/>
  <c r="P47" i="1"/>
  <c r="O47" i="1"/>
  <c r="D47" i="1"/>
  <c r="AC47" i="1" s="1"/>
  <c r="AB46" i="1"/>
  <c r="AA46" i="1"/>
  <c r="V46" i="1"/>
  <c r="U46" i="1"/>
  <c r="T46" i="1"/>
  <c r="P46" i="1"/>
  <c r="O46" i="1"/>
  <c r="D46" i="1"/>
  <c r="AC45" i="1"/>
  <c r="U45" i="1"/>
  <c r="T45" i="1"/>
  <c r="P45" i="1"/>
  <c r="O45" i="1"/>
  <c r="D45" i="1"/>
  <c r="AC44" i="1"/>
  <c r="U44" i="1"/>
  <c r="K28" i="6" s="1"/>
  <c r="T44" i="1"/>
  <c r="AA44" i="1" s="1"/>
  <c r="P44" i="1"/>
  <c r="O44" i="1"/>
  <c r="D44" i="1"/>
  <c r="AD43" i="1"/>
  <c r="AB43" i="1"/>
  <c r="V43" i="1"/>
  <c r="W43" i="1" s="1"/>
  <c r="U43" i="1"/>
  <c r="T43" i="1"/>
  <c r="P43" i="1"/>
  <c r="O43" i="1"/>
  <c r="D43" i="1"/>
  <c r="AC43" i="1" s="1"/>
  <c r="U42" i="1"/>
  <c r="T42" i="1"/>
  <c r="P42" i="1"/>
  <c r="O42" i="1"/>
  <c r="D42" i="1"/>
  <c r="AC41" i="1"/>
  <c r="AB41" i="1"/>
  <c r="AD41" i="1" s="1"/>
  <c r="U41" i="1"/>
  <c r="T41" i="1"/>
  <c r="P41" i="1"/>
  <c r="O41" i="1"/>
  <c r="D41" i="1"/>
  <c r="AB40" i="1"/>
  <c r="U40" i="1"/>
  <c r="T40" i="1"/>
  <c r="P40" i="1"/>
  <c r="O40" i="1"/>
  <c r="D40" i="1"/>
  <c r="U39" i="1"/>
  <c r="T39" i="1"/>
  <c r="P39" i="1"/>
  <c r="O39" i="1"/>
  <c r="V39" i="1" s="1"/>
  <c r="D39" i="1"/>
  <c r="U38" i="1"/>
  <c r="T38" i="1"/>
  <c r="P38" i="1"/>
  <c r="O38" i="1"/>
  <c r="D38" i="1"/>
  <c r="AD38" i="1" s="1"/>
  <c r="AD37" i="1"/>
  <c r="AB37" i="1"/>
  <c r="AC37" i="1" s="1"/>
  <c r="U37" i="1"/>
  <c r="T37" i="1"/>
  <c r="P37" i="1"/>
  <c r="O37" i="1"/>
  <c r="I32" i="6" s="1"/>
  <c r="D37" i="1"/>
  <c r="AB36" i="1"/>
  <c r="W36" i="1"/>
  <c r="U36" i="1"/>
  <c r="T36" i="1"/>
  <c r="P36" i="1"/>
  <c r="O36" i="1"/>
  <c r="V36" i="1" s="1"/>
  <c r="D36" i="1"/>
  <c r="AD35" i="1"/>
  <c r="AB35" i="1"/>
  <c r="AC35" i="1" s="1"/>
  <c r="AA35" i="1"/>
  <c r="V35" i="1"/>
  <c r="W35" i="1" s="1"/>
  <c r="U35" i="1"/>
  <c r="T35" i="1"/>
  <c r="P35" i="1"/>
  <c r="O35" i="1"/>
  <c r="D35" i="1"/>
  <c r="AD34" i="1"/>
  <c r="AB34" i="1"/>
  <c r="U34" i="1"/>
  <c r="T34" i="1"/>
  <c r="P34" i="1"/>
  <c r="AA34" i="1" s="1"/>
  <c r="O34" i="1"/>
  <c r="V34" i="1" s="1"/>
  <c r="W34" i="1" s="1"/>
  <c r="D34" i="1"/>
  <c r="AD33" i="1"/>
  <c r="AB33" i="1"/>
  <c r="AC33" i="1" s="1"/>
  <c r="W33" i="1"/>
  <c r="U33" i="1"/>
  <c r="AA33" i="1" s="1"/>
  <c r="T33" i="1"/>
  <c r="P33" i="1"/>
  <c r="O33" i="1"/>
  <c r="V33" i="1" s="1"/>
  <c r="D33" i="1"/>
  <c r="AB32" i="1"/>
  <c r="AC32" i="1" s="1"/>
  <c r="U32" i="1"/>
  <c r="K30" i="6" s="1"/>
  <c r="T32" i="1"/>
  <c r="P32" i="1"/>
  <c r="AA32" i="1" s="1"/>
  <c r="O32" i="1"/>
  <c r="I30" i="6" s="1"/>
  <c r="D32" i="1"/>
  <c r="AD32" i="1" s="1"/>
  <c r="AC31" i="1"/>
  <c r="AB31" i="1"/>
  <c r="AD31" i="1" s="1"/>
  <c r="V31" i="1"/>
  <c r="W31" i="1" s="1"/>
  <c r="U31" i="1"/>
  <c r="T31" i="1"/>
  <c r="P31" i="1"/>
  <c r="O31" i="1"/>
  <c r="D31" i="1"/>
  <c r="AD30" i="1"/>
  <c r="AC30" i="1"/>
  <c r="AB30" i="1"/>
  <c r="U30" i="1"/>
  <c r="K26" i="6" s="1"/>
  <c r="T30" i="1"/>
  <c r="P30" i="1"/>
  <c r="AA30" i="1" s="1"/>
  <c r="O30" i="1"/>
  <c r="D30" i="1"/>
  <c r="W29" i="1"/>
  <c r="U29" i="1"/>
  <c r="AA29" i="1" s="1"/>
  <c r="T29" i="1"/>
  <c r="P29" i="1"/>
  <c r="O29" i="1"/>
  <c r="V29" i="1" s="1"/>
  <c r="D29" i="1"/>
  <c r="AC29" i="1" s="1"/>
  <c r="AC28" i="1"/>
  <c r="AB28" i="1"/>
  <c r="AD28" i="1" s="1"/>
  <c r="AA28" i="1"/>
  <c r="U28" i="1"/>
  <c r="T28" i="1"/>
  <c r="P28" i="1"/>
  <c r="O28" i="1"/>
  <c r="V28" i="1" s="1"/>
  <c r="W28" i="1" s="1"/>
  <c r="D28" i="1"/>
  <c r="AB27" i="1"/>
  <c r="AC27" i="1" s="1"/>
  <c r="V27" i="1"/>
  <c r="U27" i="1"/>
  <c r="T27" i="1"/>
  <c r="P27" i="1"/>
  <c r="AA27" i="1" s="1"/>
  <c r="O27" i="1"/>
  <c r="D27" i="1"/>
  <c r="AD27" i="1" s="1"/>
  <c r="AD26" i="1"/>
  <c r="AC26" i="1"/>
  <c r="AB26" i="1"/>
  <c r="AA26" i="1"/>
  <c r="U26" i="1"/>
  <c r="T26" i="1"/>
  <c r="P26" i="1"/>
  <c r="O26" i="1"/>
  <c r="D26" i="1"/>
  <c r="U25" i="1"/>
  <c r="K23" i="6" s="1"/>
  <c r="T25" i="1"/>
  <c r="P25" i="1"/>
  <c r="O25" i="1"/>
  <c r="D25" i="1"/>
  <c r="AC25" i="1" s="1"/>
  <c r="AC24" i="1"/>
  <c r="AA24" i="1"/>
  <c r="U24" i="1"/>
  <c r="T24" i="1"/>
  <c r="P24" i="1"/>
  <c r="O24" i="1"/>
  <c r="D24" i="1"/>
  <c r="U23" i="1"/>
  <c r="K21" i="6" s="1"/>
  <c r="T23" i="1"/>
  <c r="P23" i="1"/>
  <c r="O23" i="1"/>
  <c r="D23" i="1"/>
  <c r="AC22" i="1"/>
  <c r="U22" i="1"/>
  <c r="K20" i="6" s="1"/>
  <c r="T22" i="1"/>
  <c r="P22" i="1"/>
  <c r="AA22" i="1" s="1"/>
  <c r="O22" i="1"/>
  <c r="D22" i="1"/>
  <c r="U21" i="1"/>
  <c r="T21" i="1"/>
  <c r="P21" i="1"/>
  <c r="O21" i="1"/>
  <c r="D21" i="1"/>
  <c r="AD20" i="1"/>
  <c r="U20" i="1"/>
  <c r="T20" i="1"/>
  <c r="A20" i="1" s="1"/>
  <c r="P20" i="1"/>
  <c r="O20" i="1"/>
  <c r="D20" i="1"/>
  <c r="U19" i="1"/>
  <c r="T19" i="1"/>
  <c r="P19" i="1"/>
  <c r="O19" i="1"/>
  <c r="D19" i="1"/>
  <c r="AD18" i="1"/>
  <c r="AB18" i="1"/>
  <c r="V18" i="1"/>
  <c r="W18" i="1" s="1"/>
  <c r="U18" i="1"/>
  <c r="AA18" i="1" s="1"/>
  <c r="T18" i="1"/>
  <c r="P18" i="1"/>
  <c r="O18" i="1"/>
  <c r="D18" i="1"/>
  <c r="AC18" i="1" s="1"/>
  <c r="AA17" i="1"/>
  <c r="U17" i="1"/>
  <c r="T17" i="1"/>
  <c r="P17" i="1"/>
  <c r="O17" i="1"/>
  <c r="V17" i="1" s="1"/>
  <c r="W17" i="1" s="1"/>
  <c r="D17" i="1"/>
  <c r="AD17" i="1" s="1"/>
  <c r="AD16" i="1"/>
  <c r="U16" i="1"/>
  <c r="T16" i="1"/>
  <c r="P16" i="1"/>
  <c r="O16" i="1"/>
  <c r="I13" i="6" s="1"/>
  <c r="D16" i="1"/>
  <c r="AD15" i="1"/>
  <c r="AA15" i="1"/>
  <c r="V15" i="1"/>
  <c r="W15" i="1" s="1"/>
  <c r="U15" i="1"/>
  <c r="T15" i="1"/>
  <c r="J16" i="6" s="1"/>
  <c r="P15" i="1"/>
  <c r="O15" i="1"/>
  <c r="D15" i="1"/>
  <c r="AD14" i="1"/>
  <c r="AB14" i="1"/>
  <c r="AC14" i="1" s="1"/>
  <c r="AA14" i="1"/>
  <c r="V14" i="1"/>
  <c r="W14" i="1" s="1"/>
  <c r="U14" i="1"/>
  <c r="T14" i="1"/>
  <c r="P14" i="1"/>
  <c r="O14" i="1"/>
  <c r="D14" i="1"/>
  <c r="AD13" i="1"/>
  <c r="AC13" i="1"/>
  <c r="AB13" i="1"/>
  <c r="U13" i="1"/>
  <c r="T13" i="1"/>
  <c r="P13" i="1"/>
  <c r="AA13" i="1" s="1"/>
  <c r="O13" i="1"/>
  <c r="D13" i="1"/>
  <c r="AC12" i="1"/>
  <c r="AB12" i="1"/>
  <c r="AD12" i="1" s="1"/>
  <c r="AA12" i="1"/>
  <c r="V12" i="1"/>
  <c r="U12" i="1"/>
  <c r="T12" i="1"/>
  <c r="P12" i="1"/>
  <c r="O12" i="1"/>
  <c r="D12" i="1"/>
  <c r="AC11" i="1"/>
  <c r="AB11" i="1"/>
  <c r="AD11" i="1" s="1"/>
  <c r="U11" i="1"/>
  <c r="T11" i="1"/>
  <c r="P11" i="1"/>
  <c r="AA11" i="1" s="1"/>
  <c r="O11" i="1"/>
  <c r="D11" i="1"/>
  <c r="AC10" i="1"/>
  <c r="U10" i="1"/>
  <c r="T10" i="1"/>
  <c r="P10" i="1"/>
  <c r="O10" i="1"/>
  <c r="D10" i="1"/>
  <c r="AD9" i="1"/>
  <c r="AB9" i="1"/>
  <c r="AC9" i="1" s="1"/>
  <c r="V9" i="1"/>
  <c r="W9" i="1" s="1"/>
  <c r="U9" i="1"/>
  <c r="T9" i="1"/>
  <c r="P9" i="1"/>
  <c r="O9" i="1"/>
  <c r="I8" i="6" s="1"/>
  <c r="D9" i="1"/>
  <c r="U8" i="1"/>
  <c r="T8" i="1"/>
  <c r="P8" i="1"/>
  <c r="O8" i="1"/>
  <c r="AA8" i="1" s="1"/>
  <c r="D8" i="1"/>
  <c r="AD7" i="1"/>
  <c r="V7" i="1"/>
  <c r="U7" i="1"/>
  <c r="K9" i="6" s="1"/>
  <c r="T7" i="1"/>
  <c r="P7" i="1"/>
  <c r="O7" i="1"/>
  <c r="D7" i="1"/>
  <c r="U6" i="1"/>
  <c r="T6" i="1"/>
  <c r="P6" i="1"/>
  <c r="O6" i="1"/>
  <c r="D6" i="1"/>
  <c r="AD5" i="1"/>
  <c r="U5" i="1"/>
  <c r="T5" i="1"/>
  <c r="AB5" i="1" s="1"/>
  <c r="P5" i="1"/>
  <c r="O5" i="1"/>
  <c r="D5" i="1"/>
  <c r="W81" i="1" l="1"/>
  <c r="AC5" i="1"/>
  <c r="A56" i="1"/>
  <c r="A134" i="1"/>
  <c r="A117" i="1"/>
  <c r="A120" i="1"/>
  <c r="AC134" i="1"/>
  <c r="A154" i="1"/>
  <c r="AB154" i="1"/>
  <c r="AD154" i="1" s="1"/>
  <c r="AA154" i="1"/>
  <c r="J80" i="6"/>
  <c r="A158" i="1"/>
  <c r="AA158" i="1"/>
  <c r="A209" i="1"/>
  <c r="W242" i="1"/>
  <c r="V242" i="1"/>
  <c r="I101" i="6"/>
  <c r="A265" i="1"/>
  <c r="AB265" i="1"/>
  <c r="AA265" i="1"/>
  <c r="V265" i="1"/>
  <c r="W265" i="1" s="1"/>
  <c r="I55" i="5"/>
  <c r="A12" i="1"/>
  <c r="J13" i="6"/>
  <c r="A16" i="1"/>
  <c r="AC21" i="1"/>
  <c r="AD21" i="1"/>
  <c r="I22" i="6"/>
  <c r="E57" i="5"/>
  <c r="AB24" i="1"/>
  <c r="AD24" i="1" s="1"/>
  <c r="AC46" i="1"/>
  <c r="AD46" i="1"/>
  <c r="V48" i="1"/>
  <c r="W48" i="1" s="1"/>
  <c r="A51" i="1"/>
  <c r="A88" i="1"/>
  <c r="V109" i="1"/>
  <c r="W109" i="1" s="1"/>
  <c r="A128" i="1"/>
  <c r="V171" i="1"/>
  <c r="W171" i="1"/>
  <c r="A7" i="1"/>
  <c r="K13" i="6"/>
  <c r="I18" i="6"/>
  <c r="W21" i="1"/>
  <c r="V21" i="1"/>
  <c r="A38" i="1"/>
  <c r="J41" i="6"/>
  <c r="A61" i="1"/>
  <c r="AA61" i="1"/>
  <c r="AB61" i="1"/>
  <c r="AD61" i="1" s="1"/>
  <c r="A78" i="1"/>
  <c r="AC91" i="1"/>
  <c r="V120" i="1"/>
  <c r="W120" i="1"/>
  <c r="AD148" i="1"/>
  <c r="AB158" i="1"/>
  <c r="AC158" i="1" s="1"/>
  <c r="K79" i="6"/>
  <c r="AA161" i="1"/>
  <c r="A165" i="1"/>
  <c r="AB219" i="1"/>
  <c r="AA219" i="1"/>
  <c r="A219" i="1"/>
  <c r="A229" i="1"/>
  <c r="K27" i="6"/>
  <c r="AA43" i="1"/>
  <c r="J12" i="6"/>
  <c r="A14" i="1"/>
  <c r="V16" i="1"/>
  <c r="W16" i="1" s="1"/>
  <c r="J29" i="6"/>
  <c r="AA31" i="1"/>
  <c r="A31" i="1"/>
  <c r="J44" i="6"/>
  <c r="AA64" i="1"/>
  <c r="A64" i="1"/>
  <c r="AB64" i="1"/>
  <c r="AD64" i="1" s="1"/>
  <c r="V64" i="1"/>
  <c r="W64" i="1" s="1"/>
  <c r="AD78" i="1"/>
  <c r="A86" i="1"/>
  <c r="AA88" i="1"/>
  <c r="AC107" i="1"/>
  <c r="AD107" i="1"/>
  <c r="AB131" i="1"/>
  <c r="A131" i="1"/>
  <c r="A152" i="1"/>
  <c r="A171" i="1"/>
  <c r="AB171" i="1"/>
  <c r="AA171" i="1"/>
  <c r="A186" i="1"/>
  <c r="AB262" i="1"/>
  <c r="AC262" i="1" s="1"/>
  <c r="A262" i="1"/>
  <c r="AA262" i="1"/>
  <c r="J31" i="6"/>
  <c r="A48" i="1"/>
  <c r="AB48" i="1"/>
  <c r="A69" i="1"/>
  <c r="AB69" i="1"/>
  <c r="AC69" i="1" s="1"/>
  <c r="AA69" i="1"/>
  <c r="J66" i="6"/>
  <c r="AA109" i="1"/>
  <c r="A109" i="1"/>
  <c r="A252" i="1"/>
  <c r="F60" i="5"/>
  <c r="V252" i="1"/>
  <c r="W252" i="1" s="1"/>
  <c r="AB252" i="1"/>
  <c r="AC252" i="1" s="1"/>
  <c r="AA252" i="1"/>
  <c r="A6" i="1"/>
  <c r="H55" i="5"/>
  <c r="AA6" i="1"/>
  <c r="J6" i="6"/>
  <c r="F55" i="5"/>
  <c r="AB6" i="1"/>
  <c r="B14" i="2" s="1"/>
  <c r="C14" i="2" s="1"/>
  <c r="A9" i="1"/>
  <c r="A21" i="1"/>
  <c r="A46" i="1"/>
  <c r="I41" i="6"/>
  <c r="V61" i="1"/>
  <c r="W61" i="1"/>
  <c r="A103" i="1"/>
  <c r="AB103" i="1"/>
  <c r="V103" i="1"/>
  <c r="W103" i="1" s="1"/>
  <c r="W7" i="1"/>
  <c r="A49" i="1"/>
  <c r="A67" i="1"/>
  <c r="AB67" i="1"/>
  <c r="AD67" i="1" s="1"/>
  <c r="AA67" i="1"/>
  <c r="V75" i="1"/>
  <c r="W75" i="1" s="1"/>
  <c r="I47" i="6"/>
  <c r="V78" i="1"/>
  <c r="W78" i="1" s="1"/>
  <c r="AA78" i="1"/>
  <c r="A81" i="1"/>
  <c r="AD99" i="1"/>
  <c r="AC99" i="1"/>
  <c r="I63" i="6"/>
  <c r="W107" i="1"/>
  <c r="V107" i="1"/>
  <c r="I78" i="6"/>
  <c r="V155" i="1"/>
  <c r="W155" i="1" s="1"/>
  <c r="A179" i="1"/>
  <c r="AB179" i="1"/>
  <c r="AA179" i="1"/>
  <c r="AD226" i="1"/>
  <c r="AC226" i="1"/>
  <c r="A236" i="1"/>
  <c r="AA16" i="1"/>
  <c r="A19" i="1"/>
  <c r="V24" i="1"/>
  <c r="A44" i="1"/>
  <c r="J37" i="6"/>
  <c r="AB51" i="1"/>
  <c r="AD51" i="1" s="1"/>
  <c r="A59" i="1"/>
  <c r="J61" i="6"/>
  <c r="A94" i="1"/>
  <c r="AB94" i="1"/>
  <c r="AD94" i="1" s="1"/>
  <c r="V99" i="1"/>
  <c r="W99" i="1" s="1"/>
  <c r="AB99" i="1"/>
  <c r="AB141" i="1"/>
  <c r="AC141" i="1" s="1"/>
  <c r="A141" i="1"/>
  <c r="AA141" i="1"/>
  <c r="V141" i="1"/>
  <c r="W141" i="1" s="1"/>
  <c r="J75" i="6"/>
  <c r="A148" i="1"/>
  <c r="AA148" i="1"/>
  <c r="AB148" i="1"/>
  <c r="AC148" i="1" s="1"/>
  <c r="A206" i="1"/>
  <c r="AB246" i="1"/>
  <c r="AD246" i="1" s="1"/>
  <c r="AA246" i="1"/>
  <c r="A246" i="1"/>
  <c r="J9" i="6"/>
  <c r="AB7" i="1"/>
  <c r="AB16" i="1"/>
  <c r="AC16" i="1" s="1"/>
  <c r="AD19" i="1"/>
  <c r="AC19" i="1"/>
  <c r="AA21" i="1"/>
  <c r="J34" i="6"/>
  <c r="AB38" i="1"/>
  <c r="AA38" i="1"/>
  <c r="A41" i="1"/>
  <c r="AA41" i="1"/>
  <c r="V41" i="1"/>
  <c r="W41" i="1" s="1"/>
  <c r="AD44" i="1"/>
  <c r="V67" i="1"/>
  <c r="W67" i="1" s="1"/>
  <c r="AB75" i="1"/>
  <c r="AC75" i="1" s="1"/>
  <c r="K54" i="6"/>
  <c r="AA91" i="1"/>
  <c r="J63" i="6"/>
  <c r="A107" i="1"/>
  <c r="AA120" i="1"/>
  <c r="AA131" i="1"/>
  <c r="A145" i="1"/>
  <c r="V273" i="1"/>
  <c r="W273" i="1" s="1"/>
  <c r="AB273" i="1"/>
  <c r="AC273" i="1" s="1"/>
  <c r="AA273" i="1"/>
  <c r="I14" i="6"/>
  <c r="V10" i="1"/>
  <c r="A132" i="1"/>
  <c r="AA213" i="1"/>
  <c r="A213" i="1"/>
  <c r="AB213" i="1"/>
  <c r="AC213" i="1" s="1"/>
  <c r="V213" i="1"/>
  <c r="W213" i="1" s="1"/>
  <c r="A259" i="1"/>
  <c r="AB259" i="1"/>
  <c r="AA259" i="1"/>
  <c r="V259" i="1"/>
  <c r="W259" i="1" s="1"/>
  <c r="A84" i="1"/>
  <c r="J70" i="6"/>
  <c r="AB115" i="1"/>
  <c r="AC115" i="1" s="1"/>
  <c r="A115" i="1"/>
  <c r="J14" i="6"/>
  <c r="AA10" i="1"/>
  <c r="A10" i="1"/>
  <c r="V54" i="1"/>
  <c r="W54" i="1" s="1"/>
  <c r="V65" i="1"/>
  <c r="AB65" i="1"/>
  <c r="AD65" i="1" s="1"/>
  <c r="AA65" i="1"/>
  <c r="A71" i="1"/>
  <c r="V73" i="1"/>
  <c r="W73" i="1" s="1"/>
  <c r="A76" i="1"/>
  <c r="K43" i="6"/>
  <c r="I85" i="5"/>
  <c r="I61" i="5"/>
  <c r="A89" i="1"/>
  <c r="AD97" i="1"/>
  <c r="A129" i="1"/>
  <c r="W142" i="1"/>
  <c r="V142" i="1"/>
  <c r="W156" i="1"/>
  <c r="V156" i="1"/>
  <c r="J82" i="6"/>
  <c r="AA172" i="1"/>
  <c r="V172" i="1"/>
  <c r="W172" i="1" s="1"/>
  <c r="AB172" i="1"/>
  <c r="AC172" i="1" s="1"/>
  <c r="D73" i="5"/>
  <c r="H73" i="5" s="1"/>
  <c r="E62" i="5"/>
  <c r="E56" i="5"/>
  <c r="I5" i="6"/>
  <c r="D26" i="7"/>
  <c r="J20" i="6"/>
  <c r="A22" i="1"/>
  <c r="AB22" i="1"/>
  <c r="AD22" i="1" s="1"/>
  <c r="AB29" i="1"/>
  <c r="AD29" i="1" s="1"/>
  <c r="V49" i="1"/>
  <c r="W49" i="1" s="1"/>
  <c r="I10" i="6"/>
  <c r="AC76" i="1"/>
  <c r="AD76" i="1"/>
  <c r="W84" i="1"/>
  <c r="V84" i="1"/>
  <c r="AD105" i="1"/>
  <c r="V115" i="1"/>
  <c r="W115" i="1" s="1"/>
  <c r="I73" i="6"/>
  <c r="V118" i="1"/>
  <c r="W118" i="1" s="1"/>
  <c r="AA118" i="1"/>
  <c r="AB118" i="1"/>
  <c r="AC118" i="1" s="1"/>
  <c r="AD129" i="1"/>
  <c r="AC129" i="1"/>
  <c r="AB180" i="1"/>
  <c r="AD180" i="1" s="1"/>
  <c r="AA180" i="1"/>
  <c r="AB189" i="1"/>
  <c r="AA189" i="1"/>
  <c r="A189" i="1"/>
  <c r="J91" i="6"/>
  <c r="AB210" i="1"/>
  <c r="AA210" i="1"/>
  <c r="A210" i="1"/>
  <c r="A234" i="1"/>
  <c r="I73" i="5"/>
  <c r="A8" i="1"/>
  <c r="W10" i="1"/>
  <c r="I23" i="6"/>
  <c r="V25" i="1"/>
  <c r="W25" i="1" s="1"/>
  <c r="AA54" i="1"/>
  <c r="A57" i="1"/>
  <c r="AA73" i="1"/>
  <c r="I42" i="6"/>
  <c r="W76" i="1"/>
  <c r="V76" i="1"/>
  <c r="V89" i="1"/>
  <c r="W89" i="1" s="1"/>
  <c r="I68" i="6"/>
  <c r="W113" i="1"/>
  <c r="A126" i="1"/>
  <c r="W129" i="1"/>
  <c r="AA129" i="1"/>
  <c r="AB156" i="1"/>
  <c r="AC156" i="1" s="1"/>
  <c r="H56" i="5"/>
  <c r="AD23" i="1"/>
  <c r="AC23" i="1"/>
  <c r="J32" i="6"/>
  <c r="F58" i="5"/>
  <c r="AC39" i="1"/>
  <c r="A45" i="1"/>
  <c r="AA52" i="1"/>
  <c r="V20" i="1"/>
  <c r="W20" i="1" s="1"/>
  <c r="I21" i="6"/>
  <c r="V23" i="1"/>
  <c r="W23" i="1" s="1"/>
  <c r="I70" i="5"/>
  <c r="I82" i="5"/>
  <c r="K32" i="6"/>
  <c r="I58" i="5"/>
  <c r="AD47" i="1"/>
  <c r="K36" i="6"/>
  <c r="AA71" i="1"/>
  <c r="V77" i="1"/>
  <c r="I46" i="6"/>
  <c r="W77" i="1"/>
  <c r="J67" i="6"/>
  <c r="AA111" i="1"/>
  <c r="A111" i="1"/>
  <c r="AC164" i="1"/>
  <c r="AD164" i="1"/>
  <c r="A184" i="1"/>
  <c r="AB184" i="1"/>
  <c r="AD184" i="1" s="1"/>
  <c r="AA184" i="1"/>
  <c r="V184" i="1"/>
  <c r="W184" i="1" s="1"/>
  <c r="A285" i="1"/>
  <c r="AB285" i="1"/>
  <c r="AA285" i="1"/>
  <c r="AA289" i="1"/>
  <c r="V289" i="1"/>
  <c r="W289" i="1" s="1"/>
  <c r="A292" i="1"/>
  <c r="J38" i="6"/>
  <c r="A62" i="1"/>
  <c r="AA62" i="1"/>
  <c r="V62" i="1"/>
  <c r="W62" i="1" s="1"/>
  <c r="J43" i="6"/>
  <c r="F61" i="5"/>
  <c r="H61" i="5"/>
  <c r="AB81" i="1"/>
  <c r="AD81" i="1" s="1"/>
  <c r="AA81" i="1"/>
  <c r="AA107" i="1"/>
  <c r="A118" i="1"/>
  <c r="AD132" i="1"/>
  <c r="AB149" i="1"/>
  <c r="AD149" i="1" s="1"/>
  <c r="AA149" i="1"/>
  <c r="V149" i="1"/>
  <c r="W149" i="1" s="1"/>
  <c r="AB168" i="1"/>
  <c r="AD168" i="1" s="1"/>
  <c r="AA168" i="1"/>
  <c r="A168" i="1"/>
  <c r="V180" i="1"/>
  <c r="W180" i="1"/>
  <c r="V195" i="1"/>
  <c r="G68" i="5" s="1"/>
  <c r="AB195" i="1"/>
  <c r="AA195" i="1"/>
  <c r="J5" i="6"/>
  <c r="H62" i="5"/>
  <c r="F56" i="5"/>
  <c r="F62" i="5"/>
  <c r="D28" i="7"/>
  <c r="D27" i="7"/>
  <c r="A282" i="1"/>
  <c r="A235" i="1"/>
  <c r="A289" i="1"/>
  <c r="A237" i="1"/>
  <c r="A239" i="1"/>
  <c r="A159" i="1"/>
  <c r="A293" i="1"/>
  <c r="A170" i="1"/>
  <c r="A249" i="1"/>
  <c r="A221" i="1"/>
  <c r="A266" i="1"/>
  <c r="A253" i="1"/>
  <c r="A238" i="1"/>
  <c r="A225" i="1"/>
  <c r="A160" i="1"/>
  <c r="A280" i="1"/>
  <c r="A244" i="1"/>
  <c r="A218" i="1"/>
  <c r="A214" i="1"/>
  <c r="A203" i="1"/>
  <c r="A190" i="1"/>
  <c r="A133" i="1"/>
  <c r="A286" i="1"/>
  <c r="A258" i="1"/>
  <c r="A192" i="1"/>
  <c r="A35" i="1"/>
  <c r="A216" i="1"/>
  <c r="A164" i="1"/>
  <c r="A110" i="1"/>
  <c r="A268" i="1"/>
  <c r="A255" i="1"/>
  <c r="A187" i="1"/>
  <c r="A151" i="1"/>
  <c r="A147" i="1"/>
  <c r="A197" i="1"/>
  <c r="A281" i="1"/>
  <c r="A284" i="1"/>
  <c r="A251" i="1"/>
  <c r="A231" i="1"/>
  <c r="A176" i="1"/>
  <c r="A149" i="1"/>
  <c r="A5" i="1"/>
  <c r="A68" i="1"/>
  <c r="A138" i="1"/>
  <c r="A290" i="1"/>
  <c r="A245" i="1"/>
  <c r="A106" i="1"/>
  <c r="A287" i="1"/>
  <c r="A146" i="1"/>
  <c r="A121" i="1"/>
  <c r="A91" i="1"/>
  <c r="A53" i="1"/>
  <c r="A47" i="1"/>
  <c r="A43" i="1"/>
  <c r="A201" i="1"/>
  <c r="A191" i="1"/>
  <c r="A112" i="1"/>
  <c r="A34" i="1"/>
  <c r="A26" i="1"/>
  <c r="A13" i="1"/>
  <c r="A123" i="1"/>
  <c r="A24" i="1"/>
  <c r="A55" i="1"/>
  <c r="A36" i="1"/>
  <c r="A32" i="1"/>
  <c r="A30" i="1"/>
  <c r="A11" i="1"/>
  <c r="A247" i="1"/>
  <c r="A178" i="1"/>
  <c r="A175" i="1"/>
  <c r="A127" i="1"/>
  <c r="A264" i="1"/>
  <c r="A241" i="1"/>
  <c r="A183" i="1"/>
  <c r="A166" i="1"/>
  <c r="A101" i="1"/>
  <c r="A99" i="1"/>
  <c r="A295" i="1"/>
  <c r="A279" i="1"/>
  <c r="A232" i="1"/>
  <c r="A226" i="1"/>
  <c r="A195" i="1"/>
  <c r="A217" i="1"/>
  <c r="A90" i="1"/>
  <c r="A29" i="1"/>
  <c r="A27" i="1"/>
  <c r="A223" i="1"/>
  <c r="A260" i="1"/>
  <c r="A220" i="1"/>
  <c r="A240" i="1"/>
  <c r="A211" i="1"/>
  <c r="A37" i="1"/>
  <c r="A52" i="1"/>
  <c r="AB54" i="1"/>
  <c r="AC54" i="1" s="1"/>
  <c r="AC42" i="1"/>
  <c r="AA39" i="1"/>
  <c r="W42" i="1"/>
  <c r="V42" i="1"/>
  <c r="AB42" i="1"/>
  <c r="AD42" i="1" s="1"/>
  <c r="I19" i="6"/>
  <c r="AB45" i="1"/>
  <c r="AD45" i="1" s="1"/>
  <c r="V52" i="1"/>
  <c r="AD54" i="1"/>
  <c r="A74" i="1"/>
  <c r="A169" i="1"/>
  <c r="AB169" i="1"/>
  <c r="AA169" i="1"/>
  <c r="V169" i="1"/>
  <c r="W169" i="1" s="1"/>
  <c r="AB173" i="1"/>
  <c r="A173" i="1"/>
  <c r="AA173" i="1"/>
  <c r="V173" i="1"/>
  <c r="W173" i="1" s="1"/>
  <c r="AA20" i="1"/>
  <c r="AA25" i="1"/>
  <c r="AB39" i="1"/>
  <c r="AD39" i="1" s="1"/>
  <c r="W52" i="1"/>
  <c r="A60" i="1"/>
  <c r="V71" i="1"/>
  <c r="W71" i="1" s="1"/>
  <c r="I49" i="6"/>
  <c r="V82" i="1"/>
  <c r="G61" i="5" s="1"/>
  <c r="AA82" i="1"/>
  <c r="AB84" i="1"/>
  <c r="A87" i="1"/>
  <c r="A98" i="1"/>
  <c r="A139" i="1"/>
  <c r="AB139" i="1"/>
  <c r="AC139" i="1" s="1"/>
  <c r="AA139" i="1"/>
  <c r="J76" i="6"/>
  <c r="AA150" i="1"/>
  <c r="A150" i="1"/>
  <c r="W153" i="1"/>
  <c r="V153" i="1"/>
  <c r="V157" i="1"/>
  <c r="W157" i="1" s="1"/>
  <c r="V231" i="1"/>
  <c r="AB231" i="1"/>
  <c r="AD231" i="1" s="1"/>
  <c r="W231" i="1"/>
  <c r="AA238" i="1"/>
  <c r="W238" i="1"/>
  <c r="V238" i="1"/>
  <c r="K7" i="6"/>
  <c r="J52" i="6"/>
  <c r="AA95" i="1"/>
  <c r="AB95" i="1"/>
  <c r="AD95" i="1" s="1"/>
  <c r="V95" i="1"/>
  <c r="AB85" i="1"/>
  <c r="AD85" i="1" s="1"/>
  <c r="AA85" i="1"/>
  <c r="V127" i="1"/>
  <c r="W127" i="1" s="1"/>
  <c r="AC150" i="1"/>
  <c r="AC178" i="1"/>
  <c r="A199" i="1"/>
  <c r="A228" i="1"/>
  <c r="W19" i="1"/>
  <c r="V44" i="1"/>
  <c r="I28" i="6"/>
  <c r="W44" i="1"/>
  <c r="A65" i="1"/>
  <c r="AA70" i="1"/>
  <c r="A70" i="1"/>
  <c r="AB70" i="1"/>
  <c r="V70" i="1"/>
  <c r="W70" i="1" s="1"/>
  <c r="A79" i="1"/>
  <c r="A97" i="1"/>
  <c r="AA7" i="1"/>
  <c r="A25" i="1"/>
  <c r="J28" i="6"/>
  <c r="AB44" i="1"/>
  <c r="AB10" i="1"/>
  <c r="AD10" i="1" s="1"/>
  <c r="A42" i="1"/>
  <c r="AC57" i="1"/>
  <c r="AA115" i="1"/>
  <c r="A136" i="1"/>
  <c r="AC195" i="1"/>
  <c r="V60" i="1"/>
  <c r="W60" i="1" s="1"/>
  <c r="A63" i="1"/>
  <c r="K45" i="6"/>
  <c r="AA68" i="1"/>
  <c r="K48" i="6"/>
  <c r="AA79" i="1"/>
  <c r="A82" i="1"/>
  <c r="AB87" i="1"/>
  <c r="AC87" i="1" s="1"/>
  <c r="AA87" i="1"/>
  <c r="J68" i="6"/>
  <c r="AB113" i="1"/>
  <c r="AC113" i="1" s="1"/>
  <c r="A113" i="1"/>
  <c r="AA113" i="1"/>
  <c r="W139" i="1"/>
  <c r="I76" i="6"/>
  <c r="W150" i="1"/>
  <c r="V150" i="1"/>
  <c r="A163" i="1"/>
  <c r="AB163" i="1"/>
  <c r="AD163" i="1" s="1"/>
  <c r="AA163" i="1"/>
  <c r="AD177" i="1"/>
  <c r="AC177" i="1"/>
  <c r="A181" i="1"/>
  <c r="A278" i="1"/>
  <c r="V177" i="1"/>
  <c r="W177" i="1" s="1"/>
  <c r="J96" i="6"/>
  <c r="AA207" i="1"/>
  <c r="AB207" i="1"/>
  <c r="A207" i="1"/>
  <c r="V207" i="1"/>
  <c r="AD248" i="1"/>
  <c r="AC248" i="1"/>
  <c r="AC278" i="1"/>
  <c r="AA5" i="1"/>
  <c r="A23" i="1"/>
  <c r="AC8" i="1"/>
  <c r="A33" i="1"/>
  <c r="V37" i="1"/>
  <c r="A40" i="1"/>
  <c r="V45" i="1"/>
  <c r="W45" i="1" s="1"/>
  <c r="AD48" i="1"/>
  <c r="AC48" i="1"/>
  <c r="I39" i="6"/>
  <c r="V58" i="1"/>
  <c r="W58" i="1" s="1"/>
  <c r="AB60" i="1"/>
  <c r="AD60" i="1" s="1"/>
  <c r="J50" i="6"/>
  <c r="AB74" i="1"/>
  <c r="AA74" i="1"/>
  <c r="A80" i="1"/>
  <c r="W87" i="1"/>
  <c r="E67" i="5"/>
  <c r="D67" i="5"/>
  <c r="F79" i="5"/>
  <c r="E79" i="5"/>
  <c r="D79" i="5"/>
  <c r="F67" i="5"/>
  <c r="AC6" i="1"/>
  <c r="AD6" i="1"/>
  <c r="I67" i="5"/>
  <c r="AB20" i="1"/>
  <c r="AC20" i="1" s="1"/>
  <c r="J21" i="6"/>
  <c r="AB23" i="1"/>
  <c r="AA23" i="1"/>
  <c r="AC40" i="1"/>
  <c r="AD40" i="1"/>
  <c r="AC53" i="1"/>
  <c r="A66" i="1"/>
  <c r="AB66" i="1"/>
  <c r="AD66" i="1" s="1"/>
  <c r="AA66" i="1"/>
  <c r="AD72" i="1"/>
  <c r="J46" i="6"/>
  <c r="A77" i="1"/>
  <c r="AA77" i="1"/>
  <c r="AD80" i="1"/>
  <c r="AC80" i="1"/>
  <c r="A96" i="1"/>
  <c r="AC100" i="1"/>
  <c r="I66" i="6"/>
  <c r="V111" i="1"/>
  <c r="W111" i="1" s="1"/>
  <c r="AA119" i="1"/>
  <c r="AB119" i="1"/>
  <c r="AD119" i="1" s="1"/>
  <c r="A119" i="1"/>
  <c r="A122" i="1"/>
  <c r="AB130" i="1"/>
  <c r="AC130" i="1" s="1"/>
  <c r="AA130" i="1"/>
  <c r="A130" i="1"/>
  <c r="AC137" i="1"/>
  <c r="AC140" i="1"/>
  <c r="AD140" i="1"/>
  <c r="A144" i="1"/>
  <c r="A174" i="1"/>
  <c r="AB174" i="1"/>
  <c r="AD174" i="1" s="1"/>
  <c r="AA174" i="1"/>
  <c r="A193" i="1"/>
  <c r="AD199" i="1"/>
  <c r="AC199" i="1"/>
  <c r="AD228" i="1"/>
  <c r="AC228" i="1"/>
  <c r="A275" i="1"/>
  <c r="AB275" i="1"/>
  <c r="AC275" i="1" s="1"/>
  <c r="AA275" i="1"/>
  <c r="V275" i="1"/>
  <c r="W275" i="1" s="1"/>
  <c r="A73" i="1"/>
  <c r="I57" i="6"/>
  <c r="AB89" i="1"/>
  <c r="AD89" i="1" s="1"/>
  <c r="AA89" i="1"/>
  <c r="J33" i="6"/>
  <c r="AB49" i="1"/>
  <c r="AC49" i="1" s="1"/>
  <c r="A95" i="1"/>
  <c r="I7" i="6"/>
  <c r="V8" i="1"/>
  <c r="G86" i="5" s="1"/>
  <c r="W39" i="1"/>
  <c r="W65" i="1"/>
  <c r="V5" i="1"/>
  <c r="AA177" i="1"/>
  <c r="AB177" i="1"/>
  <c r="A177" i="1"/>
  <c r="E55" i="5"/>
  <c r="W6" i="1"/>
  <c r="I6" i="6"/>
  <c r="V6" i="1"/>
  <c r="A18" i="1"/>
  <c r="AA37" i="1"/>
  <c r="V40" i="1"/>
  <c r="W40" i="1" s="1"/>
  <c r="AA45" i="1"/>
  <c r="AA50" i="1"/>
  <c r="A75" i="1"/>
  <c r="W80" i="1"/>
  <c r="A85" i="1"/>
  <c r="AD88" i="1"/>
  <c r="A93" i="1"/>
  <c r="AB111" i="1"/>
  <c r="AC111" i="1" s="1"/>
  <c r="V147" i="1"/>
  <c r="W147" i="1" s="1"/>
  <c r="I80" i="6"/>
  <c r="W158" i="1"/>
  <c r="V158" i="1"/>
  <c r="AC161" i="1"/>
  <c r="A182" i="1"/>
  <c r="AC185" i="1"/>
  <c r="A272" i="1"/>
  <c r="J56" i="6"/>
  <c r="AB104" i="1"/>
  <c r="AD104" i="1" s="1"/>
  <c r="A104" i="1"/>
  <c r="I72" i="6"/>
  <c r="V117" i="1"/>
  <c r="W117" i="1" s="1"/>
  <c r="I65" i="6"/>
  <c r="V128" i="1"/>
  <c r="W128" i="1" s="1"/>
  <c r="AD136" i="1"/>
  <c r="AC182" i="1"/>
  <c r="J101" i="6"/>
  <c r="AA242" i="1"/>
  <c r="AB242" i="1"/>
  <c r="AC242" i="1" s="1"/>
  <c r="I56" i="5"/>
  <c r="K5" i="6"/>
  <c r="I80" i="5"/>
  <c r="I68" i="5"/>
  <c r="AB15" i="1"/>
  <c r="AC15" i="1" s="1"/>
  <c r="A39" i="1"/>
  <c r="M39" i="6"/>
  <c r="K46" i="6"/>
  <c r="I62" i="6"/>
  <c r="V96" i="1"/>
  <c r="W96" i="1" s="1"/>
  <c r="J53" i="6"/>
  <c r="A100" i="1"/>
  <c r="AD115" i="1"/>
  <c r="AC121" i="1"/>
  <c r="AD126" i="1"/>
  <c r="AC126" i="1"/>
  <c r="I77" i="6"/>
  <c r="A157" i="1"/>
  <c r="AB157" i="1"/>
  <c r="AD157" i="1" s="1"/>
  <c r="AA157" i="1"/>
  <c r="W182" i="1"/>
  <c r="V237" i="1"/>
  <c r="W237" i="1"/>
  <c r="AB237" i="1"/>
  <c r="AD237" i="1" s="1"/>
  <c r="AA237" i="1"/>
  <c r="AA248" i="1"/>
  <c r="AC73" i="1"/>
  <c r="J51" i="6"/>
  <c r="AA75" i="1"/>
  <c r="J55" i="6"/>
  <c r="A102" i="1"/>
  <c r="V104" i="1"/>
  <c r="W104" i="1" s="1"/>
  <c r="J72" i="6"/>
  <c r="AA117" i="1"/>
  <c r="AD131" i="1"/>
  <c r="AB144" i="1"/>
  <c r="AC144" i="1" s="1"/>
  <c r="AA144" i="1"/>
  <c r="V187" i="1"/>
  <c r="W187" i="1"/>
  <c r="AC197" i="1"/>
  <c r="AD197" i="1"/>
  <c r="AB228" i="1"/>
  <c r="AA228" i="1"/>
  <c r="AB234" i="1"/>
  <c r="AD234" i="1" s="1"/>
  <c r="AA234" i="1"/>
  <c r="V234" i="1"/>
  <c r="W234" i="1" s="1"/>
  <c r="I17" i="6"/>
  <c r="W131" i="1"/>
  <c r="AD147" i="1"/>
  <c r="M77" i="6"/>
  <c r="AD171" i="1"/>
  <c r="AC171" i="1"/>
  <c r="J85" i="6"/>
  <c r="A202" i="1"/>
  <c r="V202" i="1"/>
  <c r="W202" i="1" s="1"/>
  <c r="AB202" i="1"/>
  <c r="AD202" i="1" s="1"/>
  <c r="W214" i="1"/>
  <c r="AB214" i="1"/>
  <c r="AC214" i="1" s="1"/>
  <c r="W220" i="1"/>
  <c r="AB254" i="1"/>
  <c r="AD254" i="1" s="1"/>
  <c r="A254" i="1"/>
  <c r="AA254" i="1"/>
  <c r="V260" i="1"/>
  <c r="W260" i="1" s="1"/>
  <c r="H58" i="5"/>
  <c r="AD217" i="1"/>
  <c r="V243" i="1"/>
  <c r="W243" i="1" s="1"/>
  <c r="AA243" i="1"/>
  <c r="W266" i="1"/>
  <c r="AA266" i="1"/>
  <c r="A269" i="1"/>
  <c r="AB269" i="1"/>
  <c r="AD269" i="1" s="1"/>
  <c r="AA269" i="1"/>
  <c r="AC276" i="1"/>
  <c r="AD282" i="1"/>
  <c r="V285" i="1"/>
  <c r="W285" i="1" s="1"/>
  <c r="AB223" i="1"/>
  <c r="AC223" i="1" s="1"/>
  <c r="J99" i="6"/>
  <c r="AA223" i="1"/>
  <c r="V276" i="1"/>
  <c r="AB276" i="1"/>
  <c r="AD276" i="1" s="1"/>
  <c r="AC103" i="1"/>
  <c r="J58" i="6"/>
  <c r="A105" i="1"/>
  <c r="A137" i="1"/>
  <c r="AA137" i="1"/>
  <c r="W145" i="1"/>
  <c r="V145" i="1"/>
  <c r="A156" i="1"/>
  <c r="A185" i="1"/>
  <c r="AB185" i="1"/>
  <c r="AD185" i="1" s="1"/>
  <c r="AA185" i="1"/>
  <c r="AC193" i="1"/>
  <c r="J89" i="6"/>
  <c r="A200" i="1"/>
  <c r="AA200" i="1"/>
  <c r="V200" i="1"/>
  <c r="W200" i="1" s="1"/>
  <c r="F72" i="5"/>
  <c r="F84" i="5"/>
  <c r="D72" i="5"/>
  <c r="H72" i="5" s="1"/>
  <c r="AD206" i="1"/>
  <c r="E72" i="5"/>
  <c r="D84" i="5"/>
  <c r="H84" i="5" s="1"/>
  <c r="AD212" i="1"/>
  <c r="AC212" i="1"/>
  <c r="AB229" i="1"/>
  <c r="AC229" i="1" s="1"/>
  <c r="AA229" i="1"/>
  <c r="V246" i="1"/>
  <c r="AC131" i="1"/>
  <c r="I86" i="6"/>
  <c r="W193" i="1"/>
  <c r="I88" i="6"/>
  <c r="V206" i="1"/>
  <c r="W206" i="1" s="1"/>
  <c r="AD244" i="1"/>
  <c r="W246" i="1"/>
  <c r="V270" i="1"/>
  <c r="W270" i="1"/>
  <c r="W276" i="1"/>
  <c r="AB286" i="1"/>
  <c r="AC286" i="1" s="1"/>
  <c r="AA286" i="1"/>
  <c r="V286" i="1"/>
  <c r="W286" i="1" s="1"/>
  <c r="I83" i="6"/>
  <c r="W166" i="1"/>
  <c r="AC175" i="1"/>
  <c r="AD175" i="1"/>
  <c r="I72" i="5"/>
  <c r="K87" i="6"/>
  <c r="I84" i="5"/>
  <c r="I60" i="5"/>
  <c r="AC217" i="1"/>
  <c r="I98" i="6"/>
  <c r="AB221" i="1"/>
  <c r="AC221" i="1" s="1"/>
  <c r="AA221" i="1"/>
  <c r="V221" i="1"/>
  <c r="W221" i="1" s="1"/>
  <c r="AD250" i="1"/>
  <c r="AB261" i="1"/>
  <c r="AC261" i="1" s="1"/>
  <c r="A261" i="1"/>
  <c r="AA261" i="1"/>
  <c r="W218" i="1"/>
  <c r="V218" i="1"/>
  <c r="AB218" i="1"/>
  <c r="AD218" i="1" s="1"/>
  <c r="A15" i="1"/>
  <c r="K18" i="6"/>
  <c r="G83" i="5"/>
  <c r="E83" i="5"/>
  <c r="D83" i="5"/>
  <c r="H83" i="5" s="1"/>
  <c r="E71" i="5"/>
  <c r="D71" i="5"/>
  <c r="H71" i="5" s="1"/>
  <c r="F83" i="5"/>
  <c r="F71" i="5"/>
  <c r="AC34" i="1"/>
  <c r="AD36" i="1"/>
  <c r="AC36" i="1"/>
  <c r="I34" i="6"/>
  <c r="V38" i="1"/>
  <c r="W38" i="1" s="1"/>
  <c r="AD55" i="1"/>
  <c r="AC55" i="1"/>
  <c r="I50" i="6"/>
  <c r="V74" i="1"/>
  <c r="W74" i="1" s="1"/>
  <c r="I52" i="6"/>
  <c r="W95" i="1"/>
  <c r="AA97" i="1"/>
  <c r="AB105" i="1"/>
  <c r="AC105" i="1" s="1"/>
  <c r="AB127" i="1"/>
  <c r="AC127" i="1" s="1"/>
  <c r="AA127" i="1"/>
  <c r="AB181" i="1"/>
  <c r="AD181" i="1" s="1"/>
  <c r="V181" i="1"/>
  <c r="W181" i="1" s="1"/>
  <c r="V193" i="1"/>
  <c r="AA209" i="1"/>
  <c r="A233" i="1"/>
  <c r="W247" i="1"/>
  <c r="V247" i="1"/>
  <c r="V261" i="1"/>
  <c r="W261" i="1" s="1"/>
  <c r="AA270" i="1"/>
  <c r="J18" i="6"/>
  <c r="AB21" i="1"/>
  <c r="AA40" i="1"/>
  <c r="AB57" i="1"/>
  <c r="AD57" i="1" s="1"/>
  <c r="AA57" i="1"/>
  <c r="V57" i="1"/>
  <c r="J42" i="6"/>
  <c r="AA76" i="1"/>
  <c r="AA105" i="1"/>
  <c r="W135" i="1"/>
  <c r="AB137" i="1"/>
  <c r="AD137" i="1" s="1"/>
  <c r="AB145" i="1"/>
  <c r="AD145" i="1" s="1"/>
  <c r="V148" i="1"/>
  <c r="W148" i="1" s="1"/>
  <c r="A153" i="1"/>
  <c r="AA153" i="1"/>
  <c r="AA292" i="1"/>
  <c r="AB292" i="1"/>
  <c r="V292" i="1"/>
  <c r="W292" i="1" s="1"/>
  <c r="V11" i="1"/>
  <c r="I11" i="6"/>
  <c r="AA19" i="1"/>
  <c r="D81" i="5"/>
  <c r="H81" i="5" s="1"/>
  <c r="F69" i="5"/>
  <c r="D69" i="5"/>
  <c r="H69" i="5" s="1"/>
  <c r="F81" i="5"/>
  <c r="E81" i="5"/>
  <c r="E69" i="5"/>
  <c r="I24" i="6"/>
  <c r="I26" i="6"/>
  <c r="V55" i="1"/>
  <c r="W55" i="1" s="1"/>
  <c r="AC93" i="1"/>
  <c r="W125" i="1"/>
  <c r="AA132" i="1"/>
  <c r="AB132" i="1"/>
  <c r="A135" i="1"/>
  <c r="AB135" i="1"/>
  <c r="AD135" i="1" s="1"/>
  <c r="A140" i="1"/>
  <c r="AB140" i="1"/>
  <c r="AA140" i="1"/>
  <c r="V140" i="1"/>
  <c r="W140" i="1" s="1"/>
  <c r="J74" i="6"/>
  <c r="AB143" i="1"/>
  <c r="AC143" i="1" s="1"/>
  <c r="AA143" i="1"/>
  <c r="A143" i="1"/>
  <c r="AB153" i="1"/>
  <c r="AD153" i="1" s="1"/>
  <c r="AD172" i="1"/>
  <c r="AB178" i="1"/>
  <c r="AD178" i="1" s="1"/>
  <c r="AA178" i="1"/>
  <c r="AB193" i="1"/>
  <c r="AD193" i="1" s="1"/>
  <c r="AA206" i="1"/>
  <c r="AB230" i="1"/>
  <c r="AA230" i="1"/>
  <c r="A230" i="1"/>
  <c r="W244" i="1"/>
  <c r="W264" i="1"/>
  <c r="AC292" i="1"/>
  <c r="AA156" i="1"/>
  <c r="AA212" i="1"/>
  <c r="V271" i="1"/>
  <c r="AA271" i="1"/>
  <c r="W271" i="1"/>
  <c r="AD287" i="1"/>
  <c r="AC287" i="1"/>
  <c r="AC293" i="1"/>
  <c r="AC7" i="1"/>
  <c r="J10" i="6"/>
  <c r="A17" i="1"/>
  <c r="J17" i="6"/>
  <c r="AB17" i="1"/>
  <c r="AC17" i="1" s="1"/>
  <c r="V19" i="1"/>
  <c r="J24" i="6"/>
  <c r="H59" i="5"/>
  <c r="F59" i="5"/>
  <c r="A28" i="1"/>
  <c r="J26" i="6"/>
  <c r="J30" i="6"/>
  <c r="H57" i="5"/>
  <c r="AA36" i="1"/>
  <c r="K34" i="6"/>
  <c r="I27" i="6"/>
  <c r="AA55" i="1"/>
  <c r="W57" i="1"/>
  <c r="W72" i="1"/>
  <c r="F73" i="5"/>
  <c r="E73" i="5"/>
  <c r="E85" i="5"/>
  <c r="D85" i="5"/>
  <c r="H85" i="5" s="1"/>
  <c r="G85" i="5"/>
  <c r="F85" i="5"/>
  <c r="K52" i="6"/>
  <c r="AB97" i="1"/>
  <c r="AC97" i="1" s="1"/>
  <c r="A125" i="1"/>
  <c r="W132" i="1"/>
  <c r="V135" i="1"/>
  <c r="V143" i="1"/>
  <c r="W143" i="1" s="1"/>
  <c r="V146" i="1"/>
  <c r="W146" i="1" s="1"/>
  <c r="W167" i="1"/>
  <c r="AC173" i="1"/>
  <c r="AD173" i="1"/>
  <c r="AA218" i="1"/>
  <c r="AB227" i="1"/>
  <c r="AA227" i="1"/>
  <c r="A227" i="1"/>
  <c r="V230" i="1"/>
  <c r="W230" i="1" s="1"/>
  <c r="AC250" i="1"/>
  <c r="V293" i="1"/>
  <c r="W293" i="1" s="1"/>
  <c r="I9" i="6"/>
  <c r="J8" i="6"/>
  <c r="AA9" i="1"/>
  <c r="K10" i="6"/>
  <c r="K11" i="6"/>
  <c r="M16" i="6"/>
  <c r="K17" i="6"/>
  <c r="I83" i="5"/>
  <c r="K24" i="6"/>
  <c r="I71" i="5"/>
  <c r="I59" i="5"/>
  <c r="J19" i="6"/>
  <c r="I33" i="6"/>
  <c r="I37" i="6"/>
  <c r="AC62" i="1"/>
  <c r="AC68" i="1"/>
  <c r="AD70" i="1"/>
  <c r="AC70" i="1"/>
  <c r="J57" i="6"/>
  <c r="AB93" i="1"/>
  <c r="AD93" i="1" s="1"/>
  <c r="AD103" i="1"/>
  <c r="AC116" i="1"/>
  <c r="V130" i="1"/>
  <c r="W130" i="1" s="1"/>
  <c r="AA135" i="1"/>
  <c r="V154" i="1"/>
  <c r="W154" i="1" s="1"/>
  <c r="J92" i="6"/>
  <c r="A204" i="1"/>
  <c r="AB222" i="1"/>
  <c r="AC222" i="1" s="1"/>
  <c r="A222" i="1"/>
  <c r="AB236" i="1"/>
  <c r="AA236" i="1"/>
  <c r="A242" i="1"/>
  <c r="V262" i="1"/>
  <c r="W262" i="1" s="1"/>
  <c r="B25" i="7"/>
  <c r="B9" i="7"/>
  <c r="D9" i="7" s="1"/>
  <c r="C16" i="7"/>
  <c r="B16" i="7"/>
  <c r="D16" i="7" s="1"/>
  <c r="C8" i="7"/>
  <c r="B8" i="7"/>
  <c r="H86" i="5"/>
  <c r="F80" i="5"/>
  <c r="C30" i="7"/>
  <c r="F86" i="5"/>
  <c r="D80" i="5"/>
  <c r="H80" i="5" s="1"/>
  <c r="C15" i="7"/>
  <c r="E86" i="5"/>
  <c r="B15" i="7"/>
  <c r="C7" i="7"/>
  <c r="C19" i="7"/>
  <c r="B7" i="7"/>
  <c r="D7" i="7" s="1"/>
  <c r="B19" i="7"/>
  <c r="D19" i="7" s="1"/>
  <c r="C28" i="7"/>
  <c r="B28" i="7"/>
  <c r="C6" i="7"/>
  <c r="C11" i="7" s="1"/>
  <c r="C27" i="7"/>
  <c r="C18" i="7"/>
  <c r="B6" i="7"/>
  <c r="B27" i="7"/>
  <c r="B18" i="7"/>
  <c r="C10" i="7"/>
  <c r="C26" i="7"/>
  <c r="C17" i="7"/>
  <c r="C25" i="7"/>
  <c r="B17" i="7"/>
  <c r="C9" i="7"/>
  <c r="E74" i="5"/>
  <c r="E68" i="5"/>
  <c r="B26" i="7"/>
  <c r="B10" i="7"/>
  <c r="E80" i="5"/>
  <c r="H74" i="5"/>
  <c r="F68" i="5"/>
  <c r="D68" i="5"/>
  <c r="H68" i="5" s="1"/>
  <c r="F74" i="5"/>
  <c r="K8" i="6"/>
  <c r="W11" i="1"/>
  <c r="V13" i="1"/>
  <c r="W13" i="1" s="1"/>
  <c r="K16" i="6"/>
  <c r="AB19" i="1"/>
  <c r="I20" i="6"/>
  <c r="V22" i="1"/>
  <c r="W22" i="1" s="1"/>
  <c r="K22" i="6"/>
  <c r="I69" i="5"/>
  <c r="I57" i="5"/>
  <c r="I81" i="5"/>
  <c r="V26" i="1"/>
  <c r="V30" i="1"/>
  <c r="W30" i="1" s="1"/>
  <c r="V32" i="1"/>
  <c r="W32" i="1" s="1"/>
  <c r="AC38" i="1"/>
  <c r="J27" i="6"/>
  <c r="K19" i="6"/>
  <c r="AA53" i="1"/>
  <c r="AB53" i="1"/>
  <c r="AD53" i="1" s="1"/>
  <c r="A58" i="1"/>
  <c r="E58" i="5"/>
  <c r="V66" i="1"/>
  <c r="W66" i="1" s="1"/>
  <c r="I45" i="6"/>
  <c r="A72" i="1"/>
  <c r="AB72" i="1"/>
  <c r="AC72" i="1" s="1"/>
  <c r="AC74" i="1"/>
  <c r="A83" i="1"/>
  <c r="K57" i="6"/>
  <c r="J54" i="6"/>
  <c r="AB91" i="1"/>
  <c r="AD91" i="1" s="1"/>
  <c r="AA114" i="1"/>
  <c r="V125" i="1"/>
  <c r="AA133" i="1"/>
  <c r="A162" i="1"/>
  <c r="A167" i="1"/>
  <c r="AA167" i="1"/>
  <c r="AC176" i="1"/>
  <c r="AA181" i="1"/>
  <c r="V189" i="1"/>
  <c r="W189" i="1" s="1"/>
  <c r="AA191" i="1"/>
  <c r="A194" i="1"/>
  <c r="W207" i="1"/>
  <c r="I96" i="6"/>
  <c r="W227" i="1"/>
  <c r="A248" i="1"/>
  <c r="AD251" i="1"/>
  <c r="AC251" i="1"/>
  <c r="AC277" i="1"/>
  <c r="AC117" i="1"/>
  <c r="V119" i="1"/>
  <c r="W119" i="1" s="1"/>
  <c r="W144" i="1"/>
  <c r="AB170" i="1"/>
  <c r="AD170" i="1" s="1"/>
  <c r="V170" i="1"/>
  <c r="W170" i="1" s="1"/>
  <c r="AB212" i="1"/>
  <c r="J95" i="6"/>
  <c r="A212" i="1"/>
  <c r="AA220" i="1"/>
  <c r="V228" i="1"/>
  <c r="W228" i="1" s="1"/>
  <c r="AD270" i="1"/>
  <c r="AC270" i="1"/>
  <c r="AA121" i="1"/>
  <c r="W134" i="1"/>
  <c r="A142" i="1"/>
  <c r="AA142" i="1"/>
  <c r="I81" i="6"/>
  <c r="AA159" i="1"/>
  <c r="J79" i="6"/>
  <c r="V161" i="1"/>
  <c r="W161" i="1" s="1"/>
  <c r="A161" i="1"/>
  <c r="V168" i="1"/>
  <c r="W168" i="1" s="1"/>
  <c r="V178" i="1"/>
  <c r="W178" i="1" s="1"/>
  <c r="V191" i="1"/>
  <c r="W191" i="1" s="1"/>
  <c r="AD207" i="1"/>
  <c r="AC207" i="1"/>
  <c r="I91" i="6"/>
  <c r="W210" i="1"/>
  <c r="AA215" i="1"/>
  <c r="A215" i="1"/>
  <c r="AC218" i="1"/>
  <c r="AB244" i="1"/>
  <c r="AC244" i="1" s="1"/>
  <c r="AA267" i="1"/>
  <c r="V279" i="1"/>
  <c r="W279" i="1" s="1"/>
  <c r="W282" i="1"/>
  <c r="A257" i="1"/>
  <c r="AA257" i="1"/>
  <c r="AA279" i="1"/>
  <c r="I79" i="5"/>
  <c r="I86" i="5" s="1"/>
  <c r="K6" i="6"/>
  <c r="J7" i="6"/>
  <c r="I15" i="6"/>
  <c r="J23" i="6"/>
  <c r="I25" i="6"/>
  <c r="AA42" i="1"/>
  <c r="I35" i="6"/>
  <c r="M40" i="6"/>
  <c r="J47" i="6"/>
  <c r="AC84" i="1"/>
  <c r="A108" i="1"/>
  <c r="V134" i="1"/>
  <c r="W136" i="1"/>
  <c r="AB142" i="1"/>
  <c r="AC142" i="1" s="1"/>
  <c r="AB147" i="1"/>
  <c r="AC147" i="1" s="1"/>
  <c r="J78" i="6"/>
  <c r="AA155" i="1"/>
  <c r="A155" i="1"/>
  <c r="V159" i="1"/>
  <c r="W159" i="1" s="1"/>
  <c r="AB161" i="1"/>
  <c r="AD161" i="1" s="1"/>
  <c r="M83" i="6"/>
  <c r="V210" i="1"/>
  <c r="V257" i="1"/>
  <c r="W257" i="1" s="1"/>
  <c r="AC274" i="1"/>
  <c r="AB279" i="1"/>
  <c r="AC279" i="1" s="1"/>
  <c r="V282" i="1"/>
  <c r="K14" i="6"/>
  <c r="J15" i="6"/>
  <c r="I12" i="6"/>
  <c r="J25" i="6"/>
  <c r="I29" i="6"/>
  <c r="I31" i="6"/>
  <c r="V59" i="1"/>
  <c r="W59" i="1" s="1"/>
  <c r="V88" i="1"/>
  <c r="W88" i="1" s="1"/>
  <c r="I61" i="6"/>
  <c r="I53" i="6"/>
  <c r="V108" i="1"/>
  <c r="W108" i="1" s="1"/>
  <c r="AB134" i="1"/>
  <c r="AD134" i="1" s="1"/>
  <c r="AB136" i="1"/>
  <c r="AC136" i="1" s="1"/>
  <c r="AA147" i="1"/>
  <c r="V151" i="1"/>
  <c r="W151" i="1" s="1"/>
  <c r="AB159" i="1"/>
  <c r="AC159" i="1" s="1"/>
  <c r="AA166" i="1"/>
  <c r="AB166" i="1"/>
  <c r="AC166" i="1" s="1"/>
  <c r="AA176" i="1"/>
  <c r="AB176" i="1"/>
  <c r="K89" i="6"/>
  <c r="I93" i="6"/>
  <c r="V205" i="1"/>
  <c r="W205" i="1" s="1"/>
  <c r="W216" i="1"/>
  <c r="A224" i="1"/>
  <c r="AA255" i="1"/>
  <c r="AB268" i="1"/>
  <c r="AD268" i="1" s="1"/>
  <c r="AA268" i="1"/>
  <c r="AB288" i="1"/>
  <c r="AC288" i="1" s="1"/>
  <c r="AA288" i="1"/>
  <c r="A288" i="1"/>
  <c r="K15" i="6"/>
  <c r="K25" i="6"/>
  <c r="K35" i="6"/>
  <c r="I36" i="6"/>
  <c r="J49" i="6"/>
  <c r="AB82" i="1"/>
  <c r="AC82" i="1" s="1"/>
  <c r="AA86" i="1"/>
  <c r="M62" i="6"/>
  <c r="AD102" i="1"/>
  <c r="W106" i="1"/>
  <c r="M73" i="6"/>
  <c r="W124" i="1"/>
  <c r="J65" i="6"/>
  <c r="AB128" i="1"/>
  <c r="AC128" i="1" s="1"/>
  <c r="AA128" i="1"/>
  <c r="AC132" i="1"/>
  <c r="AA145" i="1"/>
  <c r="AD162" i="1"/>
  <c r="AC162" i="1"/>
  <c r="AD169" i="1"/>
  <c r="AA187" i="1"/>
  <c r="V208" i="1"/>
  <c r="W208" i="1" s="1"/>
  <c r="I90" i="6"/>
  <c r="V211" i="1"/>
  <c r="W211" i="1" s="1"/>
  <c r="I94" i="6"/>
  <c r="AB232" i="1"/>
  <c r="AA232" i="1"/>
  <c r="V235" i="1"/>
  <c r="W235" i="1" s="1"/>
  <c r="AB235" i="1"/>
  <c r="AD235" i="1" s="1"/>
  <c r="A263" i="1"/>
  <c r="V263" i="1"/>
  <c r="AB274" i="1"/>
  <c r="AD274" i="1" s="1"/>
  <c r="AA274" i="1"/>
  <c r="A274" i="1"/>
  <c r="AB294" i="1"/>
  <c r="AC294" i="1" s="1"/>
  <c r="AA294" i="1"/>
  <c r="A294" i="1"/>
  <c r="V294" i="1"/>
  <c r="W294" i="1" s="1"/>
  <c r="I55" i="6"/>
  <c r="I56" i="6"/>
  <c r="J71" i="6"/>
  <c r="A116" i="1"/>
  <c r="J64" i="6"/>
  <c r="K65" i="6"/>
  <c r="I74" i="6"/>
  <c r="AC149" i="1"/>
  <c r="AA151" i="1"/>
  <c r="AB155" i="1"/>
  <c r="AC155" i="1" s="1"/>
  <c r="V166" i="1"/>
  <c r="V174" i="1"/>
  <c r="W174" i="1" s="1"/>
  <c r="W176" i="1"/>
  <c r="AD179" i="1"/>
  <c r="AC179" i="1"/>
  <c r="V183" i="1"/>
  <c r="W183" i="1" s="1"/>
  <c r="AB187" i="1"/>
  <c r="AD187" i="1" s="1"/>
  <c r="A198" i="1"/>
  <c r="A205" i="1"/>
  <c r="AD219" i="1"/>
  <c r="AC219" i="1"/>
  <c r="V280" i="1"/>
  <c r="W280" i="1" s="1"/>
  <c r="AB8" i="1"/>
  <c r="B10" i="2" s="1"/>
  <c r="C10" i="2" s="1"/>
  <c r="W12" i="1"/>
  <c r="K12" i="6"/>
  <c r="AB25" i="1"/>
  <c r="AD25" i="1" s="1"/>
  <c r="W27" i="1"/>
  <c r="K29" i="6"/>
  <c r="F70" i="5"/>
  <c r="E70" i="5"/>
  <c r="D70" i="5"/>
  <c r="H70" i="5" s="1"/>
  <c r="F82" i="5"/>
  <c r="E82" i="5"/>
  <c r="D82" i="5"/>
  <c r="H82" i="5" s="1"/>
  <c r="W46" i="1"/>
  <c r="J36" i="6"/>
  <c r="A50" i="1"/>
  <c r="AB59" i="1"/>
  <c r="AC59" i="1" s="1"/>
  <c r="AB78" i="1"/>
  <c r="AC78" i="1" s="1"/>
  <c r="A92" i="1"/>
  <c r="K53" i="6"/>
  <c r="AA106" i="1"/>
  <c r="J69" i="6"/>
  <c r="A114" i="1"/>
  <c r="K64" i="6"/>
  <c r="A124" i="1"/>
  <c r="V179" i="1"/>
  <c r="W179" i="1" s="1"/>
  <c r="AB183" i="1"/>
  <c r="AC183" i="1" s="1"/>
  <c r="A196" i="1"/>
  <c r="J90" i="6"/>
  <c r="AB208" i="1"/>
  <c r="AD208" i="1" s="1"/>
  <c r="AA208" i="1"/>
  <c r="A208" i="1"/>
  <c r="J94" i="6"/>
  <c r="AB211" i="1"/>
  <c r="AC211" i="1" s="1"/>
  <c r="AA211" i="1"/>
  <c r="V219" i="1"/>
  <c r="W219" i="1" s="1"/>
  <c r="AA224" i="1"/>
  <c r="AD227" i="1"/>
  <c r="AC227" i="1"/>
  <c r="V232" i="1"/>
  <c r="W232" i="1" s="1"/>
  <c r="J100" i="6"/>
  <c r="AA240" i="1"/>
  <c r="AB255" i="1"/>
  <c r="AC255" i="1" s="1"/>
  <c r="AA263" i="1"/>
  <c r="AB283" i="1"/>
  <c r="AC283" i="1" s="1"/>
  <c r="A283" i="1"/>
  <c r="AA283" i="1"/>
  <c r="AB291" i="1"/>
  <c r="AC291" i="1" s="1"/>
  <c r="A291" i="1"/>
  <c r="AA291" i="1"/>
  <c r="V291" i="1"/>
  <c r="A297" i="1"/>
  <c r="AB296" i="1"/>
  <c r="AC296" i="1" s="1"/>
  <c r="AA296" i="1"/>
  <c r="AB250" i="1"/>
  <c r="AB270" i="1"/>
  <c r="D62" i="5"/>
  <c r="I64" i="6"/>
  <c r="AB133" i="1"/>
  <c r="AC133" i="1" s="1"/>
  <c r="AD189" i="1"/>
  <c r="V209" i="1"/>
  <c r="W209" i="1" s="1"/>
  <c r="AB233" i="1"/>
  <c r="AC233" i="1" s="1"/>
  <c r="W240" i="1"/>
  <c r="I100" i="6"/>
  <c r="AA250" i="1"/>
  <c r="A273" i="1"/>
  <c r="J86" i="6"/>
  <c r="AA193" i="1"/>
  <c r="W201" i="1"/>
  <c r="W203" i="1"/>
  <c r="I87" i="6"/>
  <c r="V203" i="1"/>
  <c r="J93" i="6"/>
  <c r="AB205" i="1"/>
  <c r="AC205" i="1" s="1"/>
  <c r="I95" i="6"/>
  <c r="V216" i="1"/>
  <c r="I99" i="6"/>
  <c r="V223" i="1"/>
  <c r="W223" i="1" s="1"/>
  <c r="AA225" i="1"/>
  <c r="AD232" i="1"/>
  <c r="AD236" i="1"/>
  <c r="AB238" i="1"/>
  <c r="AD238" i="1" s="1"/>
  <c r="V240" i="1"/>
  <c r="AA244" i="1"/>
  <c r="AB266" i="1"/>
  <c r="AC266" i="1" s="1"/>
  <c r="AB271" i="1"/>
  <c r="AC271" i="1" s="1"/>
  <c r="A271" i="1"/>
  <c r="AC285" i="1"/>
  <c r="K86" i="6"/>
  <c r="W236" i="1"/>
  <c r="AD249" i="1"/>
  <c r="AC259" i="1"/>
  <c r="AA264" i="1"/>
  <c r="AB264" i="1"/>
  <c r="AC264" i="1" s="1"/>
  <c r="AA276" i="1"/>
  <c r="A276" i="1"/>
  <c r="AA290" i="1"/>
  <c r="W295" i="1"/>
  <c r="V274" i="1"/>
  <c r="W274" i="1" s="1"/>
  <c r="C86" i="5"/>
  <c r="K82" i="6"/>
  <c r="V241" i="1"/>
  <c r="W241" i="1" s="1"/>
  <c r="AB247" i="1"/>
  <c r="AD247" i="1" s="1"/>
  <c r="W258" i="1"/>
  <c r="AA281" i="1"/>
  <c r="AD284" i="1"/>
  <c r="AC284" i="1"/>
  <c r="AB293" i="1"/>
  <c r="AA293" i="1"/>
  <c r="I59" i="6"/>
  <c r="I84" i="6"/>
  <c r="J88" i="6"/>
  <c r="AB206" i="1"/>
  <c r="AC206" i="1" s="1"/>
  <c r="AD215" i="1"/>
  <c r="AC215" i="1"/>
  <c r="AC234" i="1"/>
  <c r="A243" i="1"/>
  <c r="AB243" i="1"/>
  <c r="AC243" i="1" s="1"/>
  <c r="AB267" i="1"/>
  <c r="AD267" i="1" s="1"/>
  <c r="A267" i="1"/>
  <c r="W284" i="1"/>
  <c r="AA284" i="1"/>
  <c r="AC295" i="1"/>
  <c r="I92" i="6"/>
  <c r="K88" i="6"/>
  <c r="AB217" i="1"/>
  <c r="J97" i="6"/>
  <c r="AA217" i="1"/>
  <c r="AC230" i="1"/>
  <c r="AC232" i="1"/>
  <c r="V239" i="1"/>
  <c r="W239" i="1" s="1"/>
  <c r="AA239" i="1"/>
  <c r="AC249" i="1"/>
  <c r="AA258" i="1"/>
  <c r="A277" i="1"/>
  <c r="AC281" i="1"/>
  <c r="W291" i="1"/>
  <c r="A296" i="1"/>
  <c r="J11" i="6"/>
  <c r="I16" i="6"/>
  <c r="F57" i="5"/>
  <c r="J22" i="6"/>
  <c r="E59" i="5"/>
  <c r="J35" i="6"/>
  <c r="J45" i="6"/>
  <c r="J48" i="6"/>
  <c r="E61" i="5"/>
  <c r="I43" i="6"/>
  <c r="J59" i="6"/>
  <c r="J60" i="6"/>
  <c r="I69" i="6"/>
  <c r="J84" i="6"/>
  <c r="AA188" i="1"/>
  <c r="A188" i="1"/>
  <c r="I89" i="6"/>
  <c r="I85" i="6"/>
  <c r="AC210" i="1"/>
  <c r="AA247" i="1"/>
  <c r="A250" i="1"/>
  <c r="AB256" i="1"/>
  <c r="AD256" i="1" s="1"/>
  <c r="AA256" i="1"/>
  <c r="A256" i="1"/>
  <c r="A270" i="1"/>
  <c r="AB272" i="1"/>
  <c r="AD272" i="1" s="1"/>
  <c r="AB289" i="1"/>
  <c r="AC289" i="1" s="1"/>
  <c r="AA199" i="1"/>
  <c r="AB201" i="1"/>
  <c r="AC201" i="1" s="1"/>
  <c r="J87" i="6"/>
  <c r="H60" i="5"/>
  <c r="AB216" i="1"/>
  <c r="AC216" i="1" s="1"/>
  <c r="V229" i="1"/>
  <c r="W229" i="1" s="1"/>
  <c r="AA231" i="1"/>
  <c r="AB260" i="1"/>
  <c r="AD260" i="1" s="1"/>
  <c r="AA260" i="1"/>
  <c r="W269" i="1"/>
  <c r="W278" i="1"/>
  <c r="AB280" i="1"/>
  <c r="AC280" i="1" s="1"/>
  <c r="J81" i="6"/>
  <c r="J98" i="6"/>
  <c r="W225" i="1"/>
  <c r="AB278" i="1"/>
  <c r="AD278" i="1" s="1"/>
  <c r="AB282" i="1"/>
  <c r="AC282" i="1" s="1"/>
  <c r="W296" i="1"/>
  <c r="AB239" i="1"/>
  <c r="AC239" i="1" s="1"/>
  <c r="W251" i="1"/>
  <c r="AB249" i="1"/>
  <c r="W263" i="1"/>
  <c r="AD265" i="1"/>
  <c r="G72" i="5"/>
  <c r="AD203" i="1"/>
  <c r="E14" i="2" l="1"/>
  <c r="Q14" i="2"/>
  <c r="J14" i="2"/>
  <c r="I14" i="2"/>
  <c r="H14" i="2"/>
  <c r="G14" i="2"/>
  <c r="N14" i="2"/>
  <c r="M14" i="2"/>
  <c r="O14" i="2"/>
  <c r="D14" i="2"/>
  <c r="P14" i="2"/>
  <c r="L14" i="2"/>
  <c r="K14" i="2"/>
  <c r="F14" i="2"/>
  <c r="O10" i="2"/>
  <c r="K10" i="2"/>
  <c r="J10" i="2"/>
  <c r="H10" i="2"/>
  <c r="E10" i="2"/>
  <c r="N10" i="2"/>
  <c r="G10" i="2"/>
  <c r="F10" i="2"/>
  <c r="Q10" i="2"/>
  <c r="M10" i="2"/>
  <c r="P10" i="2"/>
  <c r="L10" i="2"/>
  <c r="I10" i="2"/>
  <c r="D10" i="2"/>
  <c r="M24" i="6"/>
  <c r="A24" i="6"/>
  <c r="G67" i="5"/>
  <c r="M52" i="6"/>
  <c r="A52" i="6"/>
  <c r="M29" i="6"/>
  <c r="A29" i="6"/>
  <c r="M58" i="6"/>
  <c r="A58" i="6"/>
  <c r="I74" i="5"/>
  <c r="G58" i="5"/>
  <c r="W37" i="1"/>
  <c r="M61" i="6"/>
  <c r="A61" i="6"/>
  <c r="A60" i="6"/>
  <c r="M60" i="6"/>
  <c r="M86" i="6"/>
  <c r="A86" i="6"/>
  <c r="M64" i="6"/>
  <c r="A64" i="6"/>
  <c r="M79" i="6"/>
  <c r="A79" i="6"/>
  <c r="D8" i="7"/>
  <c r="W82" i="1"/>
  <c r="M41" i="6"/>
  <c r="A41" i="6"/>
  <c r="A13" i="6"/>
  <c r="M13" i="6"/>
  <c r="D18" i="7"/>
  <c r="G80" i="5"/>
  <c r="A8" i="6"/>
  <c r="M8" i="6"/>
  <c r="M17" i="6"/>
  <c r="A17" i="6"/>
  <c r="M42" i="6"/>
  <c r="A42" i="6"/>
  <c r="A6" i="6"/>
  <c r="M6" i="6"/>
  <c r="M12" i="6"/>
  <c r="A12" i="6"/>
  <c r="M7" i="6"/>
  <c r="A7" i="6"/>
  <c r="M59" i="6"/>
  <c r="A59" i="6"/>
  <c r="A97" i="6"/>
  <c r="M97" i="6"/>
  <c r="A71" i="6"/>
  <c r="M71" i="6"/>
  <c r="G56" i="5"/>
  <c r="G62" i="5"/>
  <c r="M9" i="6"/>
  <c r="A9" i="6"/>
  <c r="M37" i="6"/>
  <c r="A37" i="6"/>
  <c r="I62" i="5"/>
  <c r="D86" i="5"/>
  <c r="H79" i="5"/>
  <c r="M57" i="6"/>
  <c r="A57" i="6"/>
  <c r="M99" i="6"/>
  <c r="A99" i="6"/>
  <c r="M101" i="6"/>
  <c r="A101" i="6"/>
  <c r="M14" i="6"/>
  <c r="A14" i="6"/>
  <c r="G57" i="5"/>
  <c r="A82" i="6"/>
  <c r="M82" i="6"/>
  <c r="B9" i="3"/>
  <c r="C9" i="3" s="1"/>
  <c r="B10" i="3"/>
  <c r="C10" i="3" s="1"/>
  <c r="B6" i="3"/>
  <c r="C6" i="3" s="1"/>
  <c r="B14" i="3"/>
  <c r="C14" i="3" s="1"/>
  <c r="B7" i="3"/>
  <c r="C7" i="3" s="1"/>
  <c r="B13" i="3"/>
  <c r="C13" i="3" s="1"/>
  <c r="B8" i="3"/>
  <c r="C8" i="3" s="1"/>
  <c r="B12" i="3"/>
  <c r="C12" i="3" s="1"/>
  <c r="B11" i="3"/>
  <c r="C11" i="3" s="1"/>
  <c r="B5" i="3"/>
  <c r="C5" i="3" s="1"/>
  <c r="M74" i="6"/>
  <c r="A74" i="6"/>
  <c r="G69" i="5"/>
  <c r="W8" i="1"/>
  <c r="G79" i="5"/>
  <c r="M63" i="6"/>
  <c r="A63" i="6"/>
  <c r="B11" i="2"/>
  <c r="C11" i="2" s="1"/>
  <c r="M87" i="6"/>
  <c r="A87" i="6"/>
  <c r="G82" i="5"/>
  <c r="M89" i="6"/>
  <c r="A89" i="6"/>
  <c r="B7" i="2"/>
  <c r="C7" i="2" s="1"/>
  <c r="M46" i="6"/>
  <c r="A46" i="6"/>
  <c r="A32" i="6"/>
  <c r="M32" i="6"/>
  <c r="B6" i="2"/>
  <c r="C6" i="2" s="1"/>
  <c r="M85" i="6"/>
  <c r="A85" i="6"/>
  <c r="M33" i="6"/>
  <c r="A33" i="6"/>
  <c r="M75" i="6"/>
  <c r="A75" i="6"/>
  <c r="B8" i="2"/>
  <c r="C8" i="2" s="1"/>
  <c r="A27" i="6"/>
  <c r="M27" i="6"/>
  <c r="D30" i="7"/>
  <c r="B13" i="2"/>
  <c r="C13" i="2" s="1"/>
  <c r="A83" i="6"/>
  <c r="M84" i="6"/>
  <c r="A84" i="6"/>
  <c r="B11" i="7"/>
  <c r="D6" i="7"/>
  <c r="D11" i="7" s="1"/>
  <c r="M69" i="6"/>
  <c r="A69" i="6"/>
  <c r="M100" i="6"/>
  <c r="A100" i="6"/>
  <c r="H67" i="5"/>
  <c r="D74" i="5"/>
  <c r="AD8" i="1"/>
  <c r="M76" i="6"/>
  <c r="A76" i="6"/>
  <c r="M67" i="6"/>
  <c r="A67" i="6"/>
  <c r="M66" i="6"/>
  <c r="A66" i="6"/>
  <c r="B9" i="2"/>
  <c r="C9" i="2" s="1"/>
  <c r="M45" i="6"/>
  <c r="A45" i="6"/>
  <c r="G74" i="5"/>
  <c r="M65" i="6"/>
  <c r="A65" i="6"/>
  <c r="M11" i="6"/>
  <c r="A11" i="6"/>
  <c r="A73" i="6"/>
  <c r="A40" i="6"/>
  <c r="M95" i="6"/>
  <c r="A95" i="6"/>
  <c r="M50" i="6"/>
  <c r="A50" i="6"/>
  <c r="M80" i="6"/>
  <c r="A80" i="6"/>
  <c r="B5" i="2"/>
  <c r="C5" i="2" s="1"/>
  <c r="M90" i="6"/>
  <c r="A90" i="6"/>
  <c r="M36" i="6"/>
  <c r="A36" i="6"/>
  <c r="A53" i="6"/>
  <c r="M53" i="6"/>
  <c r="B20" i="7"/>
  <c r="D15" i="7"/>
  <c r="M81" i="6"/>
  <c r="A81" i="6"/>
  <c r="G70" i="5"/>
  <c r="A77" i="6"/>
  <c r="M55" i="6"/>
  <c r="A55" i="6"/>
  <c r="M28" i="6"/>
  <c r="A28" i="6"/>
  <c r="M43" i="6"/>
  <c r="A43" i="6"/>
  <c r="B12" i="2"/>
  <c r="C12" i="2" s="1"/>
  <c r="F8" i="7"/>
  <c r="F7" i="7"/>
  <c r="F6" i="7"/>
  <c r="F10" i="7"/>
  <c r="F9" i="7"/>
  <c r="M47" i="6"/>
  <c r="A47" i="6"/>
  <c r="A62" i="6"/>
  <c r="G59" i="5"/>
  <c r="W26" i="1"/>
  <c r="C20" i="7"/>
  <c r="A30" i="6"/>
  <c r="M30" i="6"/>
  <c r="M56" i="6"/>
  <c r="A56" i="6"/>
  <c r="A5" i="6"/>
  <c r="M5" i="6"/>
  <c r="M91" i="6"/>
  <c r="A91" i="6"/>
  <c r="A49" i="6"/>
  <c r="M49" i="6"/>
  <c r="M10" i="6"/>
  <c r="A10" i="6"/>
  <c r="M48" i="6"/>
  <c r="A48" i="6"/>
  <c r="M78" i="6"/>
  <c r="A78" i="6"/>
  <c r="M35" i="6"/>
  <c r="A35" i="6"/>
  <c r="G73" i="5"/>
  <c r="A22" i="6"/>
  <c r="M22" i="6"/>
  <c r="M15" i="6"/>
  <c r="A15" i="6"/>
  <c r="M98" i="6"/>
  <c r="A98" i="6"/>
  <c r="D10" i="7"/>
  <c r="M94" i="6"/>
  <c r="A94" i="6"/>
  <c r="A93" i="6"/>
  <c r="M93" i="6"/>
  <c r="M26" i="6"/>
  <c r="A26" i="6"/>
  <c r="M51" i="6"/>
  <c r="A51" i="6"/>
  <c r="A39" i="6"/>
  <c r="M68" i="6"/>
  <c r="A68" i="6"/>
  <c r="W195" i="1"/>
  <c r="A19" i="6"/>
  <c r="M19" i="6"/>
  <c r="G60" i="5"/>
  <c r="G84" i="5"/>
  <c r="G55" i="5"/>
  <c r="M20" i="6"/>
  <c r="A20" i="6"/>
  <c r="M34" i="6"/>
  <c r="A34" i="6"/>
  <c r="M44" i="6"/>
  <c r="A44" i="6"/>
  <c r="M54" i="6"/>
  <c r="A54" i="6"/>
  <c r="A16" i="6"/>
  <c r="M96" i="6"/>
  <c r="A96" i="6"/>
  <c r="G81" i="5"/>
  <c r="M18" i="6"/>
  <c r="A18" i="6"/>
  <c r="M70" i="6"/>
  <c r="A70" i="6"/>
  <c r="M25" i="6"/>
  <c r="A25" i="6"/>
  <c r="M72" i="6"/>
  <c r="A72" i="6"/>
  <c r="G71" i="5"/>
  <c r="M23" i="6"/>
  <c r="A23" i="6"/>
  <c r="M92" i="6"/>
  <c r="A92" i="6"/>
  <c r="M88" i="6"/>
  <c r="A88" i="6"/>
  <c r="D17" i="7"/>
  <c r="B30" i="7"/>
  <c r="A21" i="6"/>
  <c r="M21" i="6"/>
  <c r="A38" i="6"/>
  <c r="M38" i="6"/>
  <c r="W5" i="1"/>
  <c r="W24" i="1"/>
  <c r="M31" i="6"/>
  <c r="A31" i="6"/>
  <c r="G13" i="3" l="1"/>
  <c r="D13" i="3"/>
  <c r="P13" i="3"/>
  <c r="O13" i="3"/>
  <c r="M13" i="3"/>
  <c r="J13" i="3"/>
  <c r="Q13" i="3"/>
  <c r="N13" i="3"/>
  <c r="L13" i="3"/>
  <c r="F13" i="3"/>
  <c r="K13" i="3"/>
  <c r="H13" i="3"/>
  <c r="I13" i="3"/>
  <c r="E13" i="3"/>
  <c r="G7" i="2"/>
  <c r="D7" i="2"/>
  <c r="F7" i="2"/>
  <c r="E7" i="2"/>
  <c r="K7" i="2"/>
  <c r="H7" i="2"/>
  <c r="N7" i="2"/>
  <c r="M7" i="2"/>
  <c r="L7" i="2"/>
  <c r="J7" i="2"/>
  <c r="Q7" i="2"/>
  <c r="P7" i="2"/>
  <c r="O7" i="2"/>
  <c r="I7" i="2"/>
  <c r="E9" i="3"/>
  <c r="Q9" i="3"/>
  <c r="N9" i="3"/>
  <c r="J9" i="3"/>
  <c r="I9" i="3"/>
  <c r="H9" i="3"/>
  <c r="G9" i="3"/>
  <c r="O9" i="3"/>
  <c r="M9" i="3"/>
  <c r="P9" i="3"/>
  <c r="L9" i="3"/>
  <c r="F9" i="3"/>
  <c r="K9" i="3"/>
  <c r="D9" i="3"/>
  <c r="O5" i="3"/>
  <c r="J5" i="3"/>
  <c r="I5" i="3"/>
  <c r="G5" i="3"/>
  <c r="D5" i="3"/>
  <c r="N5" i="3"/>
  <c r="P5" i="3"/>
  <c r="H5" i="3"/>
  <c r="F5" i="3"/>
  <c r="Q5" i="3"/>
  <c r="M5" i="3"/>
  <c r="L5" i="3"/>
  <c r="E5" i="3"/>
  <c r="K5" i="3"/>
  <c r="O12" i="2"/>
  <c r="L12" i="2"/>
  <c r="K12" i="2"/>
  <c r="E12" i="2"/>
  <c r="F12" i="2"/>
  <c r="D12" i="2"/>
  <c r="G12" i="2"/>
  <c r="M12" i="2"/>
  <c r="J12" i="2"/>
  <c r="I12" i="2"/>
  <c r="H12" i="2"/>
  <c r="Q12" i="2"/>
  <c r="P12" i="2"/>
  <c r="N12" i="2"/>
  <c r="M6" i="2"/>
  <c r="Q6" i="2"/>
  <c r="N6" i="2"/>
  <c r="O6" i="2"/>
  <c r="K6" i="2"/>
  <c r="J6" i="2"/>
  <c r="F6" i="2"/>
  <c r="L6" i="2"/>
  <c r="H6" i="2"/>
  <c r="P6" i="2"/>
  <c r="I6" i="2"/>
  <c r="G6" i="2"/>
  <c r="E6" i="2"/>
  <c r="D6" i="2"/>
  <c r="K10" i="3"/>
  <c r="H10" i="3"/>
  <c r="G10" i="3"/>
  <c r="L10" i="3"/>
  <c r="J10" i="3"/>
  <c r="F10" i="3"/>
  <c r="Q10" i="3"/>
  <c r="P10" i="3"/>
  <c r="I10" i="3"/>
  <c r="N10" i="3"/>
  <c r="M10" i="3"/>
  <c r="E10" i="3"/>
  <c r="D10" i="3"/>
  <c r="O10" i="3"/>
  <c r="B14" i="4"/>
  <c r="C14" i="4" s="1"/>
  <c r="B11" i="4"/>
  <c r="C11" i="4" s="1"/>
  <c r="B7" i="4"/>
  <c r="C7" i="4" s="1"/>
  <c r="B9" i="4"/>
  <c r="C9" i="4" s="1"/>
  <c r="B8" i="4"/>
  <c r="C8" i="4" s="1"/>
  <c r="B12" i="4"/>
  <c r="C12" i="4" s="1"/>
  <c r="B10" i="4"/>
  <c r="C10" i="4" s="1"/>
  <c r="B6" i="4"/>
  <c r="C6" i="4" s="1"/>
  <c r="B13" i="4"/>
  <c r="C13" i="4" s="1"/>
  <c r="Q11" i="3"/>
  <c r="N11" i="3"/>
  <c r="M11" i="3"/>
  <c r="G11" i="3"/>
  <c r="O11" i="3"/>
  <c r="P11" i="3"/>
  <c r="K11" i="3"/>
  <c r="J11" i="3"/>
  <c r="I11" i="3"/>
  <c r="H11" i="3"/>
  <c r="F11" i="3"/>
  <c r="E11" i="3"/>
  <c r="D11" i="3"/>
  <c r="L11" i="3"/>
  <c r="E16" i="7"/>
  <c r="E15" i="7"/>
  <c r="E19" i="7"/>
  <c r="E18" i="7"/>
  <c r="E17" i="7"/>
  <c r="M12" i="3"/>
  <c r="F12" i="3"/>
  <c r="E12" i="3"/>
  <c r="G12" i="3"/>
  <c r="Q12" i="3"/>
  <c r="L12" i="3"/>
  <c r="H12" i="3"/>
  <c r="D12" i="3"/>
  <c r="P12" i="3"/>
  <c r="J12" i="3"/>
  <c r="I12" i="3"/>
  <c r="O12" i="3"/>
  <c r="N12" i="3"/>
  <c r="K12" i="3"/>
  <c r="M14" i="3"/>
  <c r="J14" i="3"/>
  <c r="I14" i="3"/>
  <c r="F14" i="3"/>
  <c r="D14" i="3"/>
  <c r="P14" i="3"/>
  <c r="K14" i="3"/>
  <c r="H14" i="3"/>
  <c r="O14" i="3"/>
  <c r="N14" i="3"/>
  <c r="L14" i="3"/>
  <c r="G14" i="3"/>
  <c r="E14" i="3"/>
  <c r="Q14" i="3"/>
  <c r="B5" i="4"/>
  <c r="C5" i="4" s="1"/>
  <c r="I11" i="2"/>
  <c r="F11" i="2"/>
  <c r="E11" i="2"/>
  <c r="O11" i="2"/>
  <c r="K11" i="2"/>
  <c r="G11" i="2"/>
  <c r="Q11" i="2"/>
  <c r="P11" i="2"/>
  <c r="J11" i="2"/>
  <c r="D11" i="2"/>
  <c r="N11" i="2"/>
  <c r="M11" i="2"/>
  <c r="L11" i="2"/>
  <c r="H11" i="2"/>
  <c r="P9" i="2"/>
  <c r="O9" i="2"/>
  <c r="I9" i="2"/>
  <c r="J9" i="2"/>
  <c r="F9" i="2"/>
  <c r="Q9" i="2"/>
  <c r="N9" i="2"/>
  <c r="M9" i="2"/>
  <c r="L9" i="2"/>
  <c r="E9" i="2"/>
  <c r="K9" i="2"/>
  <c r="H9" i="2"/>
  <c r="D9" i="2"/>
  <c r="G9" i="2"/>
  <c r="O7" i="3"/>
  <c r="L7" i="3"/>
  <c r="K7" i="3"/>
  <c r="E7" i="3"/>
  <c r="D7" i="3"/>
  <c r="P7" i="3"/>
  <c r="G7" i="3"/>
  <c r="F7" i="3"/>
  <c r="M7" i="3"/>
  <c r="J7" i="3"/>
  <c r="Q7" i="3"/>
  <c r="N7" i="3"/>
  <c r="H7" i="3"/>
  <c r="I7" i="3"/>
  <c r="Q5" i="2"/>
  <c r="N5" i="2"/>
  <c r="M5" i="2"/>
  <c r="G5" i="2"/>
  <c r="J5" i="2"/>
  <c r="I5" i="2"/>
  <c r="F5" i="2"/>
  <c r="H5" i="2"/>
  <c r="K5" i="2"/>
  <c r="E5" i="2"/>
  <c r="D5" i="2"/>
  <c r="P5" i="2"/>
  <c r="O5" i="2"/>
  <c r="A16" i="2" s="1"/>
  <c r="L5" i="2"/>
  <c r="Q8" i="3"/>
  <c r="K8" i="3"/>
  <c r="O8" i="3"/>
  <c r="N8" i="3"/>
  <c r="L8" i="3"/>
  <c r="H8" i="3"/>
  <c r="P8" i="3"/>
  <c r="J8" i="3"/>
  <c r="I8" i="3"/>
  <c r="D8" i="3"/>
  <c r="E8" i="3"/>
  <c r="M8" i="3"/>
  <c r="G8" i="3"/>
  <c r="F8" i="3"/>
  <c r="Q13" i="2"/>
  <c r="K13" i="2"/>
  <c r="P13" i="2"/>
  <c r="O13" i="2"/>
  <c r="M13" i="2"/>
  <c r="I13" i="2"/>
  <c r="J13" i="2"/>
  <c r="F13" i="2"/>
  <c r="N13" i="2"/>
  <c r="H13" i="2"/>
  <c r="G13" i="2"/>
  <c r="L13" i="2"/>
  <c r="E13" i="2"/>
  <c r="D13" i="2"/>
  <c r="D20" i="7"/>
  <c r="I6" i="3"/>
  <c r="F6" i="3"/>
  <c r="E6" i="3"/>
  <c r="Q6" i="3"/>
  <c r="N6" i="3"/>
  <c r="P6" i="3"/>
  <c r="K6" i="3"/>
  <c r="H6" i="3"/>
  <c r="G6" i="3"/>
  <c r="J6" i="3"/>
  <c r="D6" i="3"/>
  <c r="O6" i="3"/>
  <c r="M6" i="3"/>
  <c r="L6" i="3"/>
  <c r="E8" i="7"/>
  <c r="E7" i="7"/>
  <c r="E6" i="7"/>
  <c r="E10" i="7"/>
  <c r="E9" i="7"/>
  <c r="F16" i="7"/>
  <c r="F15" i="7"/>
  <c r="F19" i="7"/>
  <c r="F18" i="7"/>
  <c r="F17" i="7"/>
  <c r="M8" i="2"/>
  <c r="J8" i="2"/>
  <c r="I8" i="2"/>
  <c r="Q8" i="2"/>
  <c r="P8" i="2"/>
  <c r="N8" i="2"/>
  <c r="H8" i="2"/>
  <c r="G8" i="2"/>
  <c r="E8" i="2"/>
  <c r="D8" i="2"/>
  <c r="O8" i="2"/>
  <c r="L8" i="2"/>
  <c r="K8" i="2"/>
  <c r="F8" i="2"/>
  <c r="A16" i="3" l="1"/>
  <c r="M9" i="4"/>
  <c r="J9" i="4"/>
  <c r="I9" i="4"/>
  <c r="E9" i="4"/>
  <c r="D9" i="4"/>
  <c r="N9" i="4"/>
  <c r="L9" i="4"/>
  <c r="K9" i="4"/>
  <c r="H9" i="4"/>
  <c r="G9" i="4"/>
  <c r="Q9" i="4"/>
  <c r="P9" i="4"/>
  <c r="O9" i="4"/>
  <c r="F9" i="4"/>
  <c r="O11" i="4"/>
  <c r="E11" i="4"/>
  <c r="P11" i="4"/>
  <c r="N11" i="4"/>
  <c r="M11" i="4"/>
  <c r="L11" i="4"/>
  <c r="K11" i="4"/>
  <c r="I11" i="4"/>
  <c r="H11" i="4"/>
  <c r="F11" i="4"/>
  <c r="D11" i="4"/>
  <c r="Q11" i="4"/>
  <c r="J11" i="4"/>
  <c r="G11" i="4"/>
  <c r="Q6" i="4"/>
  <c r="N6" i="4"/>
  <c r="M6" i="4"/>
  <c r="G6" i="4"/>
  <c r="P6" i="4"/>
  <c r="K6" i="4"/>
  <c r="O6" i="4"/>
  <c r="J6" i="4"/>
  <c r="I6" i="4"/>
  <c r="F6" i="4"/>
  <c r="E6" i="4"/>
  <c r="L6" i="4"/>
  <c r="H6" i="4"/>
  <c r="D6" i="4"/>
  <c r="M7" i="4"/>
  <c r="J7" i="4"/>
  <c r="I7" i="4"/>
  <c r="G7" i="4"/>
  <c r="D7" i="4"/>
  <c r="F7" i="4"/>
  <c r="E7" i="4"/>
  <c r="N7" i="4"/>
  <c r="L7" i="4"/>
  <c r="O7" i="4"/>
  <c r="K7" i="4"/>
  <c r="H7" i="4"/>
  <c r="Q7" i="4"/>
  <c r="P7" i="4"/>
  <c r="X31" i="3"/>
  <c r="U31" i="3"/>
  <c r="T31" i="3"/>
  <c r="X33" i="3"/>
  <c r="T30" i="3"/>
  <c r="W31" i="3"/>
  <c r="V30" i="3"/>
  <c r="V33" i="3"/>
  <c r="W33" i="3"/>
  <c r="U33" i="3"/>
  <c r="T33" i="3"/>
  <c r="W32" i="3"/>
  <c r="V32" i="3"/>
  <c r="T32" i="3"/>
  <c r="W30" i="3"/>
  <c r="W29" i="3"/>
  <c r="V29" i="3"/>
  <c r="X32" i="3"/>
  <c r="V31" i="3"/>
  <c r="X29" i="3"/>
  <c r="U29" i="3"/>
  <c r="T29" i="3"/>
  <c r="U32" i="3"/>
  <c r="X30" i="3"/>
  <c r="U30" i="3"/>
  <c r="X24" i="2"/>
  <c r="X22" i="2"/>
  <c r="V24" i="2"/>
  <c r="U22" i="2"/>
  <c r="W22" i="2"/>
  <c r="W21" i="2"/>
  <c r="V21" i="2"/>
  <c r="X23" i="2"/>
  <c r="U21" i="2"/>
  <c r="W23" i="2"/>
  <c r="T21" i="2"/>
  <c r="U25" i="2"/>
  <c r="T22" i="2"/>
  <c r="V23" i="2"/>
  <c r="U23" i="2"/>
  <c r="T23" i="2"/>
  <c r="X25" i="2"/>
  <c r="W25" i="2"/>
  <c r="T25" i="2"/>
  <c r="W24" i="2"/>
  <c r="U24" i="2"/>
  <c r="V22" i="2"/>
  <c r="X21" i="2"/>
  <c r="T24" i="2"/>
  <c r="V25" i="2"/>
  <c r="I12" i="4"/>
  <c r="F12" i="4"/>
  <c r="E12" i="4"/>
  <c r="L12" i="4"/>
  <c r="K12" i="4"/>
  <c r="H12" i="4"/>
  <c r="Q12" i="4"/>
  <c r="P12" i="4"/>
  <c r="O12" i="4"/>
  <c r="G12" i="4"/>
  <c r="D12" i="4"/>
  <c r="N12" i="4"/>
  <c r="M12" i="4"/>
  <c r="J12" i="4"/>
  <c r="Q14" i="4"/>
  <c r="K14" i="4"/>
  <c r="F14" i="4"/>
  <c r="E14" i="4"/>
  <c r="P14" i="4"/>
  <c r="O14" i="4"/>
  <c r="A16" i="4" s="1"/>
  <c r="H14" i="4"/>
  <c r="G14" i="4"/>
  <c r="D14" i="4"/>
  <c r="M14" i="4"/>
  <c r="L14" i="4"/>
  <c r="N14" i="4"/>
  <c r="I14" i="4"/>
  <c r="J14" i="4"/>
  <c r="V25" i="3"/>
  <c r="V23" i="3"/>
  <c r="V21" i="3"/>
  <c r="U25" i="3"/>
  <c r="U23" i="3"/>
  <c r="U21" i="3"/>
  <c r="T25" i="3"/>
  <c r="W22" i="3"/>
  <c r="W21" i="3"/>
  <c r="W23" i="3"/>
  <c r="T21" i="3"/>
  <c r="X23" i="3"/>
  <c r="T23" i="3"/>
  <c r="X25" i="3"/>
  <c r="W25" i="3"/>
  <c r="X24" i="3"/>
  <c r="T22" i="3"/>
  <c r="T24" i="3"/>
  <c r="V22" i="3"/>
  <c r="U22" i="3"/>
  <c r="V24" i="3"/>
  <c r="X21" i="3"/>
  <c r="W24" i="3"/>
  <c r="U24" i="3"/>
  <c r="X22" i="3"/>
  <c r="V30" i="2"/>
  <c r="W33" i="2"/>
  <c r="V33" i="2"/>
  <c r="X29" i="2"/>
  <c r="V32" i="2"/>
  <c r="X30" i="2"/>
  <c r="U30" i="2"/>
  <c r="W29" i="2"/>
  <c r="V31" i="2"/>
  <c r="X33" i="2"/>
  <c r="U33" i="2"/>
  <c r="T33" i="2"/>
  <c r="T32" i="2"/>
  <c r="X31" i="2"/>
  <c r="W31" i="2"/>
  <c r="W30" i="2"/>
  <c r="U29" i="2"/>
  <c r="T29" i="2"/>
  <c r="U31" i="2"/>
  <c r="T31" i="2"/>
  <c r="T30" i="2"/>
  <c r="V29" i="2"/>
  <c r="X32" i="2"/>
  <c r="W32" i="2"/>
  <c r="U32" i="2"/>
  <c r="P10" i="4"/>
  <c r="O10" i="4"/>
  <c r="I10" i="4"/>
  <c r="Q10" i="4"/>
  <c r="N10" i="4"/>
  <c r="L10" i="4"/>
  <c r="H10" i="4"/>
  <c r="M10" i="4"/>
  <c r="F10" i="4"/>
  <c r="G10" i="4"/>
  <c r="E10" i="4"/>
  <c r="D10" i="4"/>
  <c r="K10" i="4"/>
  <c r="J10" i="4"/>
  <c r="O13" i="4"/>
  <c r="L13" i="4"/>
  <c r="K13" i="4"/>
  <c r="E13" i="4"/>
  <c r="P13" i="4"/>
  <c r="Q13" i="4"/>
  <c r="M13" i="4"/>
  <c r="J13" i="4"/>
  <c r="H13" i="4"/>
  <c r="G13" i="4"/>
  <c r="N13" i="4"/>
  <c r="I13" i="4"/>
  <c r="F13" i="4"/>
  <c r="D13" i="4"/>
  <c r="G8" i="4"/>
  <c r="D8" i="4"/>
  <c r="Q8" i="4"/>
  <c r="N8" i="4"/>
  <c r="P8" i="4"/>
  <c r="M8" i="4"/>
  <c r="L8" i="4"/>
  <c r="O8" i="4"/>
  <c r="J8" i="4"/>
  <c r="I8" i="4"/>
  <c r="K8" i="4"/>
  <c r="H8" i="4"/>
  <c r="F8" i="4"/>
  <c r="E8" i="4"/>
  <c r="K5" i="4"/>
  <c r="H5" i="4"/>
  <c r="G5" i="4"/>
  <c r="P5" i="4"/>
  <c r="O5" i="4"/>
  <c r="M5" i="4"/>
  <c r="I5" i="4"/>
  <c r="Q5" i="4"/>
  <c r="F5" i="4"/>
  <c r="E5" i="4"/>
  <c r="L5" i="4"/>
  <c r="J5" i="4"/>
  <c r="D5" i="4"/>
  <c r="N5" i="4"/>
  <c r="T33" i="4" l="1"/>
  <c r="V29" i="4"/>
  <c r="W32" i="4"/>
  <c r="V32" i="4"/>
  <c r="V31" i="4"/>
  <c r="U32" i="4"/>
  <c r="T32" i="4"/>
  <c r="X31" i="4"/>
  <c r="T31" i="4"/>
  <c r="W31" i="4"/>
  <c r="X30" i="4"/>
  <c r="V30" i="4"/>
  <c r="U30" i="4"/>
  <c r="T30" i="4"/>
  <c r="X29" i="4"/>
  <c r="U29" i="4"/>
  <c r="T29" i="4"/>
  <c r="V33" i="4"/>
  <c r="U31" i="4"/>
  <c r="W30" i="4"/>
  <c r="W29" i="4"/>
  <c r="X33" i="4"/>
  <c r="W33" i="4"/>
  <c r="U33" i="4"/>
  <c r="X32" i="4"/>
  <c r="V24" i="4"/>
  <c r="V22" i="4"/>
  <c r="W25" i="4"/>
  <c r="W23" i="4"/>
  <c r="W21" i="4"/>
  <c r="X23" i="4"/>
  <c r="U21" i="4"/>
  <c r="V23" i="4"/>
  <c r="T21" i="4"/>
  <c r="V25" i="4"/>
  <c r="T23" i="4"/>
  <c r="W22" i="4"/>
  <c r="U22" i="4"/>
  <c r="X24" i="4"/>
  <c r="W24" i="4"/>
  <c r="U24" i="4"/>
  <c r="T24" i="4"/>
  <c r="X21" i="4"/>
  <c r="X25" i="4"/>
  <c r="T25" i="4"/>
  <c r="X22" i="4"/>
  <c r="T22" i="4"/>
  <c r="U23" i="4"/>
  <c r="V21" i="4"/>
  <c r="U2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4" authorId="0" shapeId="0" xr:uid="{00000000-0006-0000-0000-000001000000}">
      <text>
        <r>
          <rPr>
            <sz val="10"/>
            <rFont val="Arial"/>
            <family val="2"/>
          </rPr>
          <t>Rank by residual score across both schools, highest = 1. Equal scores share a rank.</t>
        </r>
      </text>
    </comment>
    <comment ref="D4" authorId="0" shapeId="0" xr:uid="{00000000-0006-0000-0000-000002000000}">
      <text>
        <r>
          <rPr>
            <sz val="10"/>
            <rFont val="Arial"/>
            <family val="2"/>
          </rPr>
          <t>Linked from Summary by Assessment column C - edit the school there.</t>
        </r>
      </text>
    </comment>
    <comment ref="M4" authorId="0" shapeId="0" xr:uid="{00000000-0006-0000-0000-000003000000}">
      <text>
        <r>
          <rPr>
            <sz val="10"/>
            <rFont val="Arial"/>
            <family val="2"/>
          </rPr>
          <t>Consequence: 1 Insignificant, 2 Minor, 3 Moderate, 4 Significant, 5 Major (from source forms).</t>
        </r>
      </text>
    </comment>
    <comment ref="N4" authorId="0" shapeId="0" xr:uid="{00000000-0006-0000-0000-000004000000}">
      <text>
        <r>
          <rPr>
            <sz val="10"/>
            <rFont val="Arial"/>
            <family val="2"/>
          </rPr>
          <t>Likelihood: 1 Rare, 2 Unlikely, 3 Possible, 4 Likely, 5 Almost Certain (from source forms).</t>
        </r>
      </text>
    </comment>
    <comment ref="P4" authorId="0" shapeId="0" xr:uid="{00000000-0006-0000-0000-000005000000}">
      <text>
        <r>
          <rPr>
            <sz val="10"/>
            <rFont val="Arial"/>
            <family val="2"/>
          </rPr>
          <t>Rating looked up from the 5x5 matrix on Scales &amp; Matrix (cell-based, as on the Safeguard forms).</t>
        </r>
      </text>
    </comment>
    <comment ref="Y4" authorId="0" shapeId="0" xr:uid="{00000000-0006-0000-0000-000006000000}">
      <text>
        <r>
          <rPr>
            <sz val="10"/>
            <rFont val="Arial"/>
            <family val="2"/>
          </rPr>
          <t>Value exactly as recorded on the source Safeguard PDF, for audit trail. Not used in calculations.</t>
        </r>
      </text>
    </comment>
    <comment ref="AB4" authorId="0" shapeId="0" xr:uid="{00000000-0006-0000-0000-000007000000}">
      <text>
        <r>
          <rPr>
            <sz val="10"/>
            <rFont val="Arial"/>
            <family val="2"/>
          </rPr>
          <t>Hidden helper: unique sort key (residual score, then inherent score, then register order). Drives the Top 10 tabs.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4" authorId="0" shapeId="0" xr:uid="{00000000-0006-0000-0500-000001000000}">
      <text>
        <r>
          <rPr>
            <sz val="10"/>
            <rFont val="Arial"/>
            <family val="2"/>
          </rPr>
          <t>From the School field of each source form. Light green = editable (dropdown). Feeds the Risk Register.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13" authorId="0" shapeId="0" xr:uid="{00000000-0006-0000-0700-000001000000}">
      <text>
        <r>
          <rPr>
            <sz val="10"/>
            <rFont val="Arial"/>
            <family val="2"/>
          </rPr>
          <t>Not used on any Perth or Fremantle form - value inferred by symmetry/score. Confirm against the Safeguard matrix.</t>
        </r>
      </text>
    </comment>
    <comment ref="D13" authorId="0" shapeId="0" xr:uid="{00000000-0006-0000-0700-000002000000}">
      <text>
        <r>
          <rPr>
            <sz val="10"/>
            <rFont val="Arial"/>
            <family val="2"/>
          </rPr>
          <t>Not used on any Perth or Fremantle form - value inferred by symmetry/score. Confirm against the Safeguard matrix.</t>
        </r>
      </text>
    </comment>
    <comment ref="E13" authorId="0" shapeId="0" xr:uid="{00000000-0006-0000-0700-000003000000}">
      <text>
        <r>
          <rPr>
            <sz val="10"/>
            <rFont val="Arial"/>
            <family val="2"/>
          </rPr>
          <t>Not used on any Perth or Fremantle form - value inferred by symmetry/score. Confirm against the Safeguard matrix.</t>
        </r>
      </text>
    </comment>
    <comment ref="F13" authorId="0" shapeId="0" xr:uid="{00000000-0006-0000-0700-000004000000}">
      <text>
        <r>
          <rPr>
            <sz val="10"/>
            <rFont val="Arial"/>
            <family val="2"/>
          </rPr>
          <t>Not used on any Perth or Fremantle form - value inferred by symmetry/score. Confirm against the Safeguard matrix.</t>
        </r>
      </text>
    </comment>
  </commentList>
</comments>
</file>

<file path=xl/sharedStrings.xml><?xml version="1.0" encoding="utf-8"?>
<sst xmlns="http://schemas.openxmlformats.org/spreadsheetml/2006/main" count="5516" uniqueCount="1513">
  <si>
    <t>The Akidamy School of Early Learning | Consolidated Risk Register - Perth &amp; Fremantle - ranked by residual risk (with mitigations)</t>
  </si>
  <si>
    <t>Source: Safeguard risk assessment PDFs (OneDrive exports) - Perth 57 forms / 161 hazards; Fremantle 40 forms / 132 hazards. Score = Consequence x Likelihood (1-25); rating from the 5x5 matrix. Light green = variables. Re-sort on column T (then O) after edits. Filter column D to view one school.</t>
  </si>
  <si>
    <t>Inherent = WITHOUT mitigation     |     Residual = WITH mitigation / controls applied</t>
  </si>
  <si>
    <t>Rank
(residual)</t>
  </si>
  <si>
    <t>Risk ID</t>
  </si>
  <si>
    <t>Assessment ID</t>
  </si>
  <si>
    <t>School</t>
  </si>
  <si>
    <t>Risk Assessment (source form)</t>
  </si>
  <si>
    <t>Category / Template</t>
  </si>
  <si>
    <t>Studio / Area</t>
  </si>
  <si>
    <t>Form created</t>
  </si>
  <si>
    <t>Hazard ref</t>
  </si>
  <si>
    <t>Activity / Task</t>
  </si>
  <si>
    <t>Hazard type</t>
  </si>
  <si>
    <t>Hazard description (what could go wrong)</t>
  </si>
  <si>
    <t>Inherent
Consequence
(1-5)</t>
  </si>
  <si>
    <t>Inherent
Likelihood
(1-5)</t>
  </si>
  <si>
    <t>Inherent
Score</t>
  </si>
  <si>
    <t>Inherent
Rating</t>
  </si>
  <si>
    <t>Mitigation / Controls applied</t>
  </si>
  <si>
    <t>Residual
Consequence
(1-5)</t>
  </si>
  <si>
    <t>Residual
Likelihood
(1-5)</t>
  </si>
  <si>
    <t>Residual
Score</t>
  </si>
  <si>
    <t>Residual
Rating</t>
  </si>
  <si>
    <t>Score
reduction</t>
  </si>
  <si>
    <t>%
reduction</t>
  </si>
  <si>
    <t>Risk owner (as recorded)</t>
  </si>
  <si>
    <t>Source form:
inherent value</t>
  </si>
  <si>
    <t>Source form:
residual value</t>
  </si>
  <si>
    <t>Data quality flag</t>
  </si>
  <si>
    <t>Sort key
(helper)</t>
  </si>
  <si>
    <t>Perth key
(helper)</t>
  </si>
  <si>
    <t>Fremantle key
(helper)</t>
  </si>
  <si>
    <t>P36-C</t>
  </si>
  <si>
    <t>P36</t>
  </si>
  <si>
    <t>School Event: Nursery Studio Easter Stay &amp; Play (National Reg. 101, 115, 167)</t>
  </si>
  <si>
    <t>School Event (General, Special Activities or Incursion, Other)</t>
  </si>
  <si>
    <t>P1 - N2 Playspace Summers House</t>
  </si>
  <si>
    <t>24/03/2025</t>
  </si>
  <si>
    <t>C</t>
  </si>
  <si>
    <t>Musical Instruments</t>
  </si>
  <si>
    <t>Critical Incident</t>
  </si>
  <si>
    <t>Child eating the instruments and swallow some of the smaller bits on the musical instruments.</t>
  </si>
  <si>
    <t>Closely supervision and check instruments to see if any bits are close or a danger to the children</t>
  </si>
  <si>
    <t>Mira Kesley</t>
  </si>
  <si>
    <t>High - 15</t>
  </si>
  <si>
    <t>High - 12</t>
  </si>
  <si>
    <t>F01-A</t>
  </si>
  <si>
    <t>F01</t>
  </si>
  <si>
    <t>Administration of Medication (National Regulation 92 (Medication Record), Reg 93 (Administration), Reg 95 (Procedure), Reg 168(2)(v))</t>
  </si>
  <si>
    <t>Potential for Someone Getting Hurt (Child or Adult), Serious Incident, Damage or Reportable</t>
  </si>
  <si>
    <t>Not specified on form</t>
  </si>
  <si>
    <t>15/01/2026</t>
  </si>
  <si>
    <t>A</t>
  </si>
  <si>
    <t>Incorrect Dosage / Wrong Child</t>
  </si>
  <si>
    <t>Biological; Chemical; People</t>
  </si>
  <si>
    <t>Overdose, allergic reaction, or failure to treat condition.</t>
  </si>
  <si>
    <t>• Two-Person Check: Mandatory witness check of dosage, child’s name, medication name, and expiry before administration. • 5 Rights: Check: Right Child, Right Medication, Right Dose, Right Time, Right Route. • Original Container: Medication must be in original packaging with the pharmacy label (child’s name).</t>
  </si>
  <si>
    <t>School Director or Responsible Person</t>
  </si>
  <si>
    <t>P18-E</t>
  </si>
  <si>
    <t>P18</t>
  </si>
  <si>
    <t>Incident: Missing Child / Absconding (National Regulation 99)</t>
  </si>
  <si>
    <t>E</t>
  </si>
  <si>
    <t>Missing Child Event</t>
  </si>
  <si>
    <t>Critical Incident; People</t>
  </si>
  <si>
    <t>Child lost / serious safety risk.</t>
  </si>
  <si>
    <t>Missing Child Procedure: 1. Alert Supervisor immediately., 2. Lockdown premises (nobody in/out). 3. Systematic search (rooms, cupboards, garden). 4. Call Police/Parents if not found within 60 minutes.</t>
  </si>
  <si>
    <t>School Director</t>
  </si>
  <si>
    <t>F03-C</t>
  </si>
  <si>
    <t>F03</t>
  </si>
  <si>
    <t>Child Protection &amp; Staff Conduct Risk Assessment Reg 84, 155 &amp; 68(2)(h)</t>
  </si>
  <si>
    <t>8/12/2025</t>
  </si>
  <si>
    <t>Inappropriate Discipline</t>
  </si>
  <si>
    <t>Critical Incident; Socio-emotional; People</t>
  </si>
  <si>
    <t>Emotional trauma, physical injury, breach of rights.</t>
  </si>
  <si>
    <t>The "Interactions with Children" policy prohibits corporal punishment, isolation, and shaming. Room Leaders monitor the language and tone of educators. Staff must immediately report colleague misconduct to the Approved Provider. A culture of reporting is encouraged; staff are urged to promptly report any misconduct to the Approved Provider.</t>
  </si>
  <si>
    <t>Moderate - 9</t>
  </si>
  <si>
    <t>P05-C</t>
  </si>
  <si>
    <t>P05</t>
  </si>
  <si>
    <t>F09-A</t>
  </si>
  <si>
    <t>F09</t>
  </si>
  <si>
    <t>Food Safety, Handling &amp; Nutrition (National Regulation 77 (Health &amp; Hygiene)), 77 and 79)</t>
  </si>
  <si>
    <t>Allergic Reaction / Anaphylaxis (Food Prep)</t>
  </si>
  <si>
    <t>Biological; Chemical; Critical Incident; People</t>
  </si>
  <si>
    <t>Severe allergic reaction or death due to cross-contamination.</t>
  </si>
  <si>
    <t>• Allergy Lists: Current dietary list displayed in kitchen (out of public view but visible to staff). • Separate Prep: Separate chopping boards/utensils for allergy meals. Allergy meals plated and covered first. • No Nut Policy: Strict prohibition of nuts (monitor lunchboxes if families provide food).</t>
  </si>
  <si>
    <t>School Chef and Director</t>
  </si>
  <si>
    <t>High - 10</t>
  </si>
  <si>
    <t>F24-B</t>
  </si>
  <si>
    <t>F24</t>
  </si>
  <si>
    <t>Risk assessment for Medical Drill/ Actual Incident (National Reg 89, 90, 168)</t>
  </si>
  <si>
    <t>7/12/2025</t>
  </si>
  <si>
    <t>B</t>
  </si>
  <si>
    <t>Initial response / first aid</t>
  </si>
  <si>
    <t>People</t>
  </si>
  <si>
    <t>Incorrect response; risk of worsening condition</t>
  </si>
  <si>
    <t>Trained first aiders; CPR/EpiPen training; first aid kits readily available</t>
  </si>
  <si>
    <t>Laura Johnson</t>
  </si>
  <si>
    <t>F28-C</t>
  </si>
  <si>
    <t>F28</t>
  </si>
  <si>
    <t>Serious Incident, Damage or Reportable Event (National Reg 167 &amp; 174, 175, 176)</t>
  </si>
  <si>
    <t>5/12/2025</t>
  </si>
  <si>
    <t>Movement of people to safe locations</t>
  </si>
  <si>
    <t>Exposure to threat; children moving unsupervised; risk of injury</t>
  </si>
  <si>
    <t>Staff guide children to safe areas; minimise movement; clear procedure for gathering in secure rooms</t>
  </si>
  <si>
    <t>Ashlee Jarvis</t>
  </si>
  <si>
    <t>F31-B</t>
  </si>
  <si>
    <t>F31</t>
  </si>
  <si>
    <t>Someone Getting Hurt (Child or Adult) (NQF National Reg. 167, 168, 175) - Adult WHS (Reg 12)</t>
  </si>
  <si>
    <t>P15-E</t>
  </si>
  <si>
    <t>P15</t>
  </si>
  <si>
    <t>Fire Evacuation Risk Assessment (National Reg 97, 158)</t>
  </si>
  <si>
    <t>16/09/2025</t>
  </si>
  <si>
    <t>Safe designated area away from building; clearly communicated location; staff supervision; re-entry only when authorised</t>
  </si>
  <si>
    <t>Individuals with mobility, sensory, or medical needs unable to evacuate safely</t>
  </si>
  <si>
    <t>Individual evacuation plans / assigned helpers; evacuation chairs/refuge areas; training for staff</t>
  </si>
  <si>
    <t>P16-A</t>
  </si>
  <si>
    <t>P16</t>
  </si>
  <si>
    <t>P23-B</t>
  </si>
  <si>
    <t>P23</t>
  </si>
  <si>
    <t>Medical Drill/ Actual Incident (National Reg 87, 97, 101, 115)</t>
  </si>
  <si>
    <t>P29-C</t>
  </si>
  <si>
    <t>P29</t>
  </si>
  <si>
    <t>Potential for Someone Getting Hurt (Child or Adult), Serious Incident, Damage or Reportable (National Reg 12, 103)</t>
  </si>
  <si>
    <t>F28-E</t>
  </si>
  <si>
    <t>Support for people with additional needs</t>
  </si>
  <si>
    <t>Individuals with mobility, sensory, or medical needs unable to follow lockdown procedure</t>
  </si>
  <si>
    <t>Individual lockdown plans; assigned helpers; accessible safe spaces; staff training</t>
  </si>
  <si>
    <t>P29-E</t>
  </si>
  <si>
    <t>P36-B</t>
  </si>
  <si>
    <t>Playdough with loose parts</t>
  </si>
  <si>
    <t>Chemical</t>
  </si>
  <si>
    <t>Eating the playdough</t>
  </si>
  <si>
    <t>Closely supervision</t>
  </si>
  <si>
    <t>Moderate - 10</t>
  </si>
  <si>
    <t>F02-C</t>
  </si>
  <si>
    <t>F02</t>
  </si>
  <si>
    <t>Bushfire / Grassfire Evacuation / Fire at Fremantle Port or Railway Station (National Regulation 97)</t>
  </si>
  <si>
    <t>Fire Alarm goes of at Coles or Level 1 Carpark</t>
  </si>
  <si>
    <t>Chemical; Critical Incident; Energy systems; Facilities, building environment and equipment; People</t>
  </si>
  <si>
    <t>Entrapment / Blocked Exits</t>
  </si>
  <si>
    <t>Use Emergency Lift to Nursery Children in Emergency Cots. If lift is not working use the two alterative emergency stair wells. • Egress Routes: Two distinct assembly points identified (primary and secondary) in case one is blocked. • Go-Bags: Emergency bag (containing First Aid, EpiPens, Asthma puffers, parent contact list, mobile phone) located at exit. • Drills: Evacuation drills practiced every 3 months at different times of the day.</t>
  </si>
  <si>
    <t>High - 16</t>
  </si>
  <si>
    <t>F38-B</t>
  </si>
  <si>
    <t>F38</t>
  </si>
  <si>
    <t>Volunteers and Students (National Regulation 149)</t>
  </si>
  <si>
    <t>Lack of WWCC / Clearances</t>
  </si>
  <si>
    <t>Socio-emotional; People</t>
  </si>
  <si>
    <t>Risk of abuse by a prohibited person.</t>
  </si>
  <si>
    <t>• Verification: Working With Children Check (WWCC) verified online before the person enters the premises. • Register: Details entered into the Staff/Student Register (Reg 153).</t>
  </si>
  <si>
    <t>P45-B</t>
  </si>
  <si>
    <t>P45</t>
  </si>
  <si>
    <t>F18-C</t>
  </si>
  <si>
    <t>F18</t>
  </si>
  <si>
    <t>Mystery Box Challenge (Nursery) (National Reg 168 &amp; 93)</t>
  </si>
  <si>
    <t>New or Current Educational Resources/Experience</t>
  </si>
  <si>
    <t>Yarn</t>
  </si>
  <si>
    <t>Kids eating the yarn and wrapping it around themselves (specially neck)</t>
  </si>
  <si>
    <t>Closely supervison</t>
  </si>
  <si>
    <t>F30-A</t>
  </si>
  <si>
    <t>F30</t>
  </si>
  <si>
    <t>Sleep and Rest Risk Assessment (SIDS / Cot Safety) (National Regulation 81)</t>
  </si>
  <si>
    <t>SUDI / SIDS (Sudden Infant Death)</t>
  </si>
  <si>
    <t>Biological; People</t>
  </si>
  <si>
    <t>Suffocation, overheating, fatality.</t>
  </si>
  <si>
    <t>• All children placed on their back to sleep. • Bedding is light; no doonas, pillows, or bumpers in cots. • Feet positioned at the bottom of the cot ("Feet to Foot" rule). • No hoods, cords, or jewelry on sleeping children.</t>
  </si>
  <si>
    <t>Educators</t>
  </si>
  <si>
    <t>F34-C</t>
  </si>
  <si>
    <t>F34</t>
  </si>
  <si>
    <t>Toddlers &amp; K3 Going to the City of Fremantle Library / Or Local Park (National Reg. 100,101,102)</t>
  </si>
  <si>
    <t>Excursion and Transport</t>
  </si>
  <si>
    <t>25/11/2025</t>
  </si>
  <si>
    <t>Traffic and Road Safety (Crossing roads, car parks)</t>
  </si>
  <si>
    <t>Critical Incident; Environmental; People</t>
  </si>
  <si>
    <t>Struck by vehicle, serious injury, fatality.</t>
  </si>
  <si>
    <t>• Educators to scout the safest route prior to the excursion. Ratios maintained at 1:4 (or as per center policy) for excursions. • Children to hold hands/hold "walking rope" and walk on the inside of the footpath. • Educators positioned at front and back of the group. • Crossing only at designated pedestrian crossings.</t>
  </si>
  <si>
    <t>Studio Lead</t>
  </si>
  <si>
    <t>P02-C</t>
  </si>
  <si>
    <t>P02</t>
  </si>
  <si>
    <t>April Mystery Box Challenge (Nursery) (National Reg 93, 168, 168A)</t>
  </si>
  <si>
    <t>P1 - N1 - Nursery Studio</t>
  </si>
  <si>
    <t>4/04/2025</t>
  </si>
  <si>
    <t>F02-A</t>
  </si>
  <si>
    <t>Fire at Fremantle Port or Railway Station accross the road from school. Smoke Inhalation / Air Quality</t>
  </si>
  <si>
    <t>Biological; Critical Incident; Energy systems; Environmental; Facilities, building environment and equipment; People</t>
  </si>
  <si>
    <t>Respiratory distress (Asthma triggers), eye irritation.</t>
  </si>
  <si>
    <t>• Monitor local emergency apps (e.g., VicEmergency, Hazards Near Me) daily during fire season. • Indoor play policy activated if air quality index (AQI) is poor.• Windows and doors sealed; air conditioning switched to "recirculate."</t>
  </si>
  <si>
    <t>F09-C</t>
  </si>
  <si>
    <t>Choking Hazard (Food Texture)</t>
  </si>
  <si>
    <t>Chemical; Critical Incident; People</t>
  </si>
  <si>
    <t>Child choking on high-risk foods (grapes, sausages, carrots).</t>
  </si>
  <si>
    <t>• Texture Modification: Grapes/tomatoes quartered lengthwise; sausages sliced thinly (not rounds); carrots cooked until soft or grated. • Supervision: Children seated while eating; staff positioned to see faces (not just backs).</t>
  </si>
  <si>
    <t>Studio Lead, School Director and Chef</t>
  </si>
  <si>
    <t>F11-A</t>
  </si>
  <si>
    <t>F11</t>
  </si>
  <si>
    <t>Unsupervised Exit (Gate left open) in Outside Playscape</t>
  </si>
  <si>
    <t>Critical Incident; Facilities, building environment and equipment; People</t>
  </si>
  <si>
    <t>Road trauma, abduction, lost child.</t>
  </si>
  <si>
    <t>• Physical Barrier: Entry gates fitted with high handles (1.5m+) and self-closing/self-latching mechanisms. • Maintenance: Monthly check of gate mechanisms to ensure they don't stick. • Supervision: Staff positioned to face entry/exit points during outdoor play. • Visitor/Tradeperson Protocol: All visitors buzzed in; no "tailgating" allowed.</t>
  </si>
  <si>
    <t>All Educators</t>
  </si>
  <si>
    <t>F33-C</t>
  </si>
  <si>
    <t>F33</t>
  </si>
  <si>
    <t>Sun Safety (UV / Heat) Risk Assessment Reg 113, 114 and Reg 168(2)(a)(ii)</t>
  </si>
  <si>
    <t>Hot Surfaces (Artificial Grass/Softfall/Playequipement/PlaygroundStructure)</t>
  </si>
  <si>
    <t>Energy systems; Environmental; Facilities, building environment and equipment; People</t>
  </si>
  <si>
    <t>Burns to feet/hands.</t>
  </si>
  <si>
    <t>• Testing: Educator places back of hand on surface for 5 seconds; if too hot for hand, too hot for child. • Footwear: Shoes must be worn at all times during high heat days. Also turning on school sprikers ahead of time to cool play areas. School has been designed to have 40% undershade permant structure.</t>
  </si>
  <si>
    <t>P08-A</t>
  </si>
  <si>
    <t>P08</t>
  </si>
  <si>
    <t>Culturally Diverse Food Cafe: Resources/Experience (National Reg 101, 103)</t>
  </si>
  <si>
    <t>P1 - K4 - Kindergarten 4 Studio</t>
  </si>
  <si>
    <t>1/10/2025</t>
  </si>
  <si>
    <t>To support the children in exploring similarities and differences across cultures, and to develop an appreciation for the diversity of food, heritage, and traditions, I will set up a food cultures cafe in the studio stocked with tools and materials from around the world.</t>
  </si>
  <si>
    <t>The children may: drop the mortar and pestle on their foot/hand, poke themself or someone else in the eye with the chopsticks, drop the ceramic teapot, bowls, and spoons causing them to shatter.</t>
  </si>
  <si>
    <t>Close supervision of children. Before introducing the materials I will also sit the children down and discuss how to handle them safely.</t>
  </si>
  <si>
    <t>Paige Liakishev</t>
  </si>
  <si>
    <t>P16-C</t>
  </si>
  <si>
    <t>P16-D</t>
  </si>
  <si>
    <t>D</t>
  </si>
  <si>
    <t>Choking on high-risk foods (grapes, sausages).</t>
  </si>
  <si>
    <t>• Grapes/tomatoes cut into quarters (lengthways)., • Sausages cut into strips, not rounds. • Children must be seated while eating; supervision required at all time</t>
  </si>
  <si>
    <t>Educator</t>
  </si>
  <si>
    <t>P18-A</t>
  </si>
  <si>
    <t>P18-D</t>
  </si>
  <si>
    <t>Transition Times</t>
  </si>
  <si>
    <t>Critical Incident; Environmental; Facilities, building environment and equipment; People</t>
  </si>
  <si>
    <t>Child lost during movement between rooms/garden.</t>
  </si>
  <si>
    <t>Headcounts conducted before leaving a room and immediately upon arriving at the new location. • Staff positioned at front and back of the group line. Follow Supervision Policy and Plans accross the school</t>
  </si>
  <si>
    <t>Studio Lead and Educators</t>
  </si>
  <si>
    <t>P25-A</t>
  </si>
  <si>
    <t>P25</t>
  </si>
  <si>
    <t>New Printer Resources (National Reg 168 &amp; 93)</t>
  </si>
  <si>
    <t>General Risk Assessment Form</t>
  </si>
  <si>
    <t>4/12/2024</t>
  </si>
  <si>
    <t>Printer being delievered into the School and into the reception Area</t>
  </si>
  <si>
    <t>Environmental; Facilities, building environment and equipment; Manual Handling</t>
  </si>
  <si>
    <t>- Children potentiall escaping from the front door while item is being delievered. Potential for children or staff member being hurt, due collision wil the new printer droipoff.</t>
  </si>
  <si>
    <t>This activity is to done during children sleep time, to minimise the potential risk to childrne and staff.</t>
  </si>
  <si>
    <t>P41-C</t>
  </si>
  <si>
    <t>P41</t>
  </si>
  <si>
    <t>F34-D</t>
  </si>
  <si>
    <t>Missing Child / Separation</t>
  </si>
  <si>
    <t>Critical Incident; Environmental; Socio-emotional; People</t>
  </si>
  <si>
    <t>Psychological distress, abduction, injury while unsupervised.</t>
  </si>
  <si>
    <t>• Headcounts conducted: Before leaving, upon arrival, every 15 mins at venue, before leaving venue, and upon return. • Children to wear high-visibility vests with service contact number (no names visible). • "Stop, Look, Listen" checks performed at key transition points.</t>
  </si>
  <si>
    <t>F01-B</t>
  </si>
  <si>
    <t>Unauthorised Administration</t>
  </si>
  <si>
    <t>Biological; Manual Handling; Socio-emotional; People</t>
  </si>
  <si>
    <t>Giving medication without parental consent (legal liability).</t>
  </si>
  <si>
    <t>• Authorisation Form: Medication Record signed by parent before administration (except in anaphylaxis/asthma emergencies). • Verbal Auth: Only accepted in emergencies; two staff must listen to the phone instruction.</t>
  </si>
  <si>
    <t>School Director or Studio Lead</t>
  </si>
  <si>
    <t>F01-C</t>
  </si>
  <si>
    <t>Insecure Storage / Access</t>
  </si>
  <si>
    <t>Facilities, building environment and equipment; Vehicles, machinery and equipment; Socio-emotional; People</t>
  </si>
  <si>
    <t>Child accessing medication; theft of medication.</t>
  </si>
  <si>
    <t>• Lock Box: All medication stored in a locked container/cupboard (or high locked fridge box). Key kept on a responsible person (not left in door). • Expired Meds: Regular audit of medication box; expired meds returned to family immediately.</t>
  </si>
  <si>
    <t>F18-D</t>
  </si>
  <si>
    <t>CD's</t>
  </si>
  <si>
    <t>If the CD's breaks they're scarp</t>
  </si>
  <si>
    <t>Closely supervision and check for any cracks</t>
  </si>
  <si>
    <t>F19-C</t>
  </si>
  <si>
    <t>F19</t>
  </si>
  <si>
    <t>Nappy Changing and Toileting (National Regulation 115)</t>
  </si>
  <si>
    <t>• Standing Changes: Older toddlers offered "standing changes" in the bathroom to promote autonomy and mimic toilet training.</t>
  </si>
  <si>
    <t>Biological; Critical Incident; Environmental; Facilities, building environment and equipment; People</t>
  </si>
  <si>
    <t>Outbreak of infectious disease among children and staff.</t>
  </si>
  <si>
    <t>• Glove Protocol: Gloves worn for dirty nappies; gloves removed before touching clean nappy/clothes to prevent transfer. • Mat Sanitisation: Change mat cleaned with neutral detergent and dried after every single use. Any cracked or torn mats are replaced immediately (bacteria trap). • Hand Washing: Staff wash hands and child's hands after every change. Sinks must be hands-free (foot pedal or sensor).</t>
  </si>
  <si>
    <t>F21-B</t>
  </si>
  <si>
    <t>F21</t>
  </si>
  <si>
    <t>Physical Environment: Hazardous Substances (National Regulation 106)</t>
  </si>
  <si>
    <t>Skin/Eye Contact</t>
  </si>
  <si>
    <t>Chemical burns, dermatitis, eye damage.</t>
  </si>
  <si>
    <t>• Staff to wear PPE (gloves/goggles) when decanting or using strong chemicals. • Cleaning conducted when children are not in the immediate vicinity (e.g., during outdoor play). • Spill kit available for immediate cleanup.</t>
  </si>
  <si>
    <t>F25-B</t>
  </si>
  <si>
    <t>F25</t>
  </si>
  <si>
    <t>Safe Arrival and Departure Children (National Regulation 99)</t>
  </si>
  <si>
    <t>Child Left at Service / School (After Hours)</t>
  </si>
  <si>
    <t>Critical Incident; Environmental; Facilities, building environment and equipment; Socio-emotional; People</t>
  </si>
  <si>
    <t>Distress, safety risk.</t>
  </si>
  <si>
    <t>• Closing Procedure: Two staff complete a full building sweep (lockers, bathrooms, playground) before locking up.• Contact: Emergency contact list used if parent is late; Police/DCP contacted if child not collected by specific time (e.g., 7:00 PM) as per policy.Reg 158</t>
  </si>
  <si>
    <t>F36-C</t>
  </si>
  <si>
    <t>F36</t>
  </si>
  <si>
    <t>Transport Risk Assessment (Public Train and Bus or Private Coach) (National Reg 100 &amp; 101)</t>
  </si>
  <si>
    <t>Interaction with Public (Train/Bus)</t>
  </si>
  <si>
    <t>Critical Incident; Vehicles, machinery and equipment; People</t>
  </si>
  <si>
    <t>Stranger danger, harassment, exposure to inappropriate behaviour.</t>
  </si>
  <si>
    <t>• Seating: Children seated in a "block"; educators sit on the aisle seats to create a barrier between children and public. • Briefing: Children told "Stay with your partner" and "Don't talk to strangers" (age appropriate). • Toilet: Public toilets at stations avoided; on-board train toilets used only with educator escort.</t>
  </si>
  <si>
    <t>P02-D</t>
  </si>
  <si>
    <t>P24-C</t>
  </si>
  <si>
    <t>P24</t>
  </si>
  <si>
    <t>P27-B</t>
  </si>
  <si>
    <t>P27</t>
  </si>
  <si>
    <t>P34-A</t>
  </si>
  <si>
    <t>P34</t>
  </si>
  <si>
    <t>School Event (General or Special or Incursion) - Easter stay and play for K3/K4. Playdough table, craft table, magnets and drawing. (National Reg 101,115)</t>
  </si>
  <si>
    <t>P1 - Cheriton House</t>
  </si>
  <si>
    <t>26/03/2025</t>
  </si>
  <si>
    <t>Stay and play</t>
  </si>
  <si>
    <t>Environmental; People</t>
  </si>
  <si>
    <t>Parents not signing in when they arrive. Children going through open doors if left open. Parents not singing out when they leave.</t>
  </si>
  <si>
    <t>Educator to supervise the door to ensure everyone signs in. Enough educators supervising the children and doing regular head counts. Asking parents to sign out when they leave.</t>
  </si>
  <si>
    <t>K3/ K4 Educators</t>
  </si>
  <si>
    <t>F32-A</t>
  </si>
  <si>
    <t>F32</t>
  </si>
  <si>
    <t>Stationary - Children independently access stationary resources to create and play (National Reg 100, 101, 115)</t>
  </si>
  <si>
    <t>30/04/2025</t>
  </si>
  <si>
    <t>Children will independently learn to use equipment to complete creative tasks child and adult led.</t>
  </si>
  <si>
    <t>Biological</t>
  </si>
  <si>
    <t>Cut fingers, snip another child, cut hair, pinch fingers or body</t>
  </si>
  <si>
    <t>Children will be taught how to use resources safely, children will be supervised when using resources</t>
  </si>
  <si>
    <t>Studio Educators</t>
  </si>
  <si>
    <t>Moderate - 6</t>
  </si>
  <si>
    <t>F24-A</t>
  </si>
  <si>
    <t>Recognition of emergency</t>
  </si>
  <si>
    <t>Delay in identifying medical issue; untrained staff</t>
  </si>
  <si>
    <t>Staff trained in recognising emergencies; awareness of children’s medical conditions; clear reporting procedure</t>
  </si>
  <si>
    <t>Moderate - 8</t>
  </si>
  <si>
    <t>F31-A</t>
  </si>
  <si>
    <t>P15-A</t>
  </si>
  <si>
    <t>Sounding the alarm / initiating drill</t>
  </si>
  <si>
    <t>Alarm not heard in all areas; confusion with other signals; delay in recognising it is a drill or real event</t>
  </si>
  <si>
    <t>Test alarms regularly, ensure detectors are in correct places, maintain clear manual call points</t>
  </si>
  <si>
    <t>P15-B</t>
  </si>
  <si>
    <t>Evacuation of children, staff, and visitors</t>
  </si>
  <si>
    <t>Blocked or obstructed exits; overcrowding; slips, trips, or falls during movement; panic or distress, especially among younger children</t>
  </si>
  <si>
    <t>Keep exits/routes clear; fire wardens supervise evacuation; practice drills; staff support children during exit</t>
  </si>
  <si>
    <t>P23-A</t>
  </si>
  <si>
    <t>F34-A</t>
  </si>
  <si>
    <t>Excursion to Norwood Park</t>
  </si>
  <si>
    <t>Biological; Critical Incident; Environmental</t>
  </si>
  <si>
    <t>Possible falling from equipment; falling when running; finding hazardous items in the bushes/grass; children straying onto the road; other members of the public.</t>
  </si>
  <si>
    <t>Children are helped on the equipment and advised of how to best negotiate each piece of equipment; Children advised to move carefully around the park; Staff to do thorough search of area prior to children’s arrival; staff to complete headcount every 15 minutes; Staff to conduct sweeps of the surrounding area and be aware of those around us.</t>
  </si>
  <si>
    <t>P14-A</t>
  </si>
  <si>
    <t>P14</t>
  </si>
  <si>
    <t>Excursion to Noorwood Park (National Reg 100 &amp; 101)</t>
  </si>
  <si>
    <t>6/11/2025</t>
  </si>
  <si>
    <t>P54-A</t>
  </si>
  <si>
    <t>P54</t>
  </si>
  <si>
    <t>The K4 children will be walking to Cafe (Excursion Regular)</t>
  </si>
  <si>
    <t>4/05/2026</t>
  </si>
  <si>
    <t>The K4 children will be walking to Cafe Leadman where they will have the opportunity to engage in a real-life café setting.</t>
  </si>
  <si>
    <t>Biological; Environmental; Facilities, building environment and equipment; Vehicles, machinery and equipment; Socio-emotional</t>
  </si>
  <si>
    <t>Walking to the cafe - missing a child/loosing a child, cars, bikes, scooters, sun exposure. Crossing the road - cars, bikes, scooters, pedestrians. Touching/eating food - child anaphylaxis/allergic reaction.</t>
  </si>
  <si>
    <t>The children will be wearing high-vis vests. A headcount will be done when leaving the centre and when arriving at the cafe. During the walk one educator will walk at the front of the line and one will walk at the rear to ensure children's safety. When crossing the road one educator will stand in the middle to alert any traffic and remain there until all children have crossed the road. We'll be bringing the children's medical bags containing their EpiPens in the case of an anaphylactic reaction.</t>
  </si>
  <si>
    <t>F03-A</t>
  </si>
  <si>
    <t>Failure to Report Abuse (Mandatory Reporting)</t>
  </si>
  <si>
    <t>Child remains in unsafe environment; legal prosecution of educator/service.</t>
  </si>
  <si>
    <t>• Training: All staff complete accredited Child Protection training (CHCPRT001) annually. • Resource: "Mandatory Reporting Guide" accessible on staff iPads/office adn on Sweetprocess. • Process: Clear flow chart displayed on sweetprocess and in staff room (Concern &gt; Document &gt; Report to Director &gt; Report to Authorities). • Support: Director available to debrief and assist with reporting procedures immediately.</t>
  </si>
  <si>
    <t>F07-A</t>
  </si>
  <si>
    <t>F07</t>
  </si>
  <si>
    <t>Emergency: Lockdown / Intruder Risk Assessment (National Regulation 97)</t>
  </si>
  <si>
    <t>Unauthorized Entry / Intruder</t>
  </si>
  <si>
    <t>Physical assault, abduction, psychological trauma to children/staff.</t>
  </si>
  <si>
    <t>• Access Control: Front doors locked/coded; single point of entry monitored by admin. • Code Word: Staff trained in a specific code word/phrase to trigger lockdown without causing panic. • Safe Zones: Identified areas within rooms (out of line of sight from windows/doors) where children gather. • Safe Zones: Identified areas within rooms (out of line of sight from windows/doors) where children gather. Lockdown all studio internal locks. Be near school phones and use hand helds potentially</t>
  </si>
  <si>
    <t>F17-D</t>
  </si>
  <si>
    <t>F17</t>
  </si>
  <si>
    <t>Multi Storey Evacuations Fremantle (Regulation 97 &amp; Australian Standard AS 3745: Planning for emergencies in facilities.)</t>
  </si>
  <si>
    <t>17/02/2025</t>
  </si>
  <si>
    <t>Stuck by fire, gas or hazardous material incident event in multi-story building.</t>
  </si>
  <si>
    <t>Chemical; Critical Incident; Energy systems</t>
  </si>
  <si>
    <t>People being trapped as result of the event.</t>
  </si>
  <si>
    <t>Call emergence services on 000 to communicate a potential plan of safe exit, ensure that you bring emergency phone or walk talkie to able to stay in communication, ensure you have Evac. and First Aid Kits, Emergency Evacauation plan which are locatedon the wall at all exits. If safe or instructed by emergency services us the emergency lift which is at reception or stairwell.This dependent on the people and children present at the time. Alterative seek other safe egress through the playscape or car park on level 2. Be in constant communication with emergency services and ensure that children are supervisor by Staff at all times. In addition to adhering to all the applicable National Construction Code (NCC) requirements, designers of Class 9b early childhood centres located in a multi-storey building should also address the unique risks by implementing measures such as: Additional fire safety systems (e.g. automatic sprinklers) to support the longer travel time from the upper level to an exit Suitable design of evacuation stairs, in particular the size, inclusion of child-height handrails and fall barriers Location of designated exits, ensuring they are clear and not obstructed Design and fit out of high fire risk areas, including kitchens, for example, with the inclusion of smoke compartmentation Suitability of alternative evacuation paths, such as lifts and safe, designated assembly points Location of equipment used for evacuation and fire safety.</t>
  </si>
  <si>
    <t>The Nominated Supervisor or Most Senior Person Stuck in the Situation</t>
  </si>
  <si>
    <t>F17-E</t>
  </si>
  <si>
    <t>Another emergency situation (i.e. medical emergency, Intruder/Aggressive Person, Bomb threat, Building damage, Snake or animal on premises, Cyclone, Dease Outbreak. Hazardous materials incident. Community disturbance/violence, Hostage / Custody dispute)</t>
  </si>
  <si>
    <t>Biological; Chemical; Critical Incident; Energy systems; Environmental; Facilities, building environment and equipment; Vehicles, machinery and equipment; People</t>
  </si>
  <si>
    <t>Staff, Visitors or child could be injured or exposed</t>
  </si>
  <si>
    <t>Depending of the emergency. Call Emergency Services and Seek advice to allow for plan to safely exit the School. By limited of children , visitors and staff being hurt or exposed. Ensure that staff member has access to a mobile phone at all times, first aid, excavaution kit and emergency excavaution plan with them you. Be in constant communication with emergency services and ensure that children are supervisor by Staff at all times.</t>
  </si>
  <si>
    <t>F23-A</t>
  </si>
  <si>
    <t>F23</t>
  </si>
  <si>
    <t>Power Outage / Blackout (National Regulation 97)</t>
  </si>
  <si>
    <t>Electronic Door Failure</t>
  </si>
  <si>
    <t>Energy systems; Facilities, building environment and equipment; People</t>
  </si>
  <si>
    <t>Entrapment (doors won't open) or Security Breach (doors fail open).</t>
  </si>
  <si>
    <t>Fail-Safe Mechanism: Doors are programmed to automatically release during a fire alarm, but will remain secure in the event of a power loss, thanks to a battery backup. Manual Override: Keys for all electronic doors are stored in the "Emergency Grab Bag" located in the office. Staffing: Staff will be positioned at entry points to physically man the doors if the mag-locks disengage. All studios are equipped with internal locks to isolate spaces.</t>
  </si>
  <si>
    <t>F24-D</t>
  </si>
  <si>
    <t>Managing the scene</t>
  </si>
  <si>
    <t>Other children distressed; unsafe environment</t>
  </si>
  <si>
    <t>Staff supervise remaining children; keep scene safe and calm; remove hazards where possible</t>
  </si>
  <si>
    <t>F28-D</t>
  </si>
  <si>
    <t>Communication during lockdown</t>
  </si>
  <si>
    <t>Panic, misinformation, system failure</t>
  </si>
  <si>
    <t>Use intercom/radio; backup communication plan; clear instructions to staff and children</t>
  </si>
  <si>
    <t>F31-D</t>
  </si>
  <si>
    <t>P04-A</t>
  </si>
  <si>
    <t>P04</t>
  </si>
  <si>
    <t>Bushfire, Parklands, Reserves or Building Fires (National Regulation 97,168(2)e)</t>
  </si>
  <si>
    <t>External Fire Threat (Bushfire / Parklands / Reserves)</t>
  </si>
  <si>
    <t>Fire encroaching from nearby reserves or embers igniting the building.</t>
  </si>
  <si>
    <t>• Monitor: Check Fire Danger Ratings daily in summer. • Prepare: Clean gutters/roof of dry leaves quarterly. • Trigger: Pre-emptive closure on "Catastrophic" rating days. • Shelter in Place: Protocols for when outside air is toxic/unsafe.</t>
  </si>
  <si>
    <t>P05-A</t>
  </si>
  <si>
    <t>P15-C</t>
  </si>
  <si>
    <t>Movement through evacuation routes</t>
  </si>
  <si>
    <t>Poor signage; low visibility; routes too narrow; unsafe bottlenecks</t>
  </si>
  <si>
    <t>Clear signage; emergency lighting; wardens guide flow; regular checks on exit routes</t>
  </si>
  <si>
    <t>P23-D</t>
  </si>
  <si>
    <t>P29-B</t>
  </si>
  <si>
    <t>Securing the site</t>
  </si>
  <si>
    <t>Doors/windows not secure; external visitors not accounted for</t>
  </si>
  <si>
    <t>Lock doors and windows; blinds closed; procedure for visitors and contractors; staff training</t>
  </si>
  <si>
    <t>P29-D</t>
  </si>
  <si>
    <t>P50-A</t>
  </si>
  <si>
    <t>P50</t>
  </si>
  <si>
    <t>Magnetic Pipeline Set - New or Current Educational Resources/Experience</t>
  </si>
  <si>
    <t>25/06/2026</t>
  </si>
  <si>
    <t>Children will explore, connect and build with magnetic pipeline pieces.</t>
  </si>
  <si>
    <t>Biological; Facilities, building environment and equipment; Socio-emotional</t>
  </si>
  <si>
    <t>Children may throw magnetic pieces, causing injury to themselves or others; Small pieces or detached components may present a choking risk if placed in the mouth; Pieces left on the floor may create a tripping hazard; Children may use the pieces in ways they are not intended, such as hitting others.</t>
  </si>
  <si>
    <t>Educators actively supervise the activity at all times, discuss and reinforce expectations for safe play including not throwing the pieces; regularly inspect pieces for damage or loose components and remove any broken items immediately; monitor children to ensure pieces are not placed in their mouths; prompt children to pack away unused pieces and clean up at the end of the activity; redirect children if the equipment is being used unsafely and remove the resource if required</t>
  </si>
  <si>
    <t>P57-A</t>
  </si>
  <si>
    <t>P57</t>
  </si>
  <si>
    <t>Wooden marble run - New or Current Educational Resources/Experience</t>
  </si>
  <si>
    <t>Children will use wooden blocks, track pieces and marbles to build and test marble runs.</t>
  </si>
  <si>
    <t>Facilities, building environment and equipment; Socio-emotional</t>
  </si>
  <si>
    <t>Marbles may present a choking hazard if placed in the mouth; loose blocks or marbles on the floor may create a trip hazard; children may throw blocks or marbles or use them to hit others.</t>
  </si>
  <si>
    <t>Closely supervise children while marbles are in use; remove damaged or broken pieces immediately; model safe handling of blocks and marbles; pack away resources when the activity is finished; redirect unsafe behaviour.</t>
  </si>
  <si>
    <t>F12-A</t>
  </si>
  <si>
    <t>F12</t>
  </si>
  <si>
    <t>Infectious Disease &amp; Infection Control (Gastro/Flu management) - Reg 77 (Health &amp; Hygiene Practices), Reg 168(2)(c)</t>
  </si>
  <si>
    <t>Transmission of illness (Gastro, Influenza, COVID-19)</t>
  </si>
  <si>
    <t>Biological; Chemical; Critical Incident; Environmental; Facilities, building environment and equipment; Socio-emotional; People</t>
  </si>
  <si>
    <t>Spread of infection to staff, children, and families; Centre closure.</t>
  </si>
  <si>
    <t>• Exclusion Policy: Adherence to "Staying Healthy in Child Care" guidelines (5th Ed). Strict 24/48hr exclusion for vomiting/diarrhoea. • Hand Hygiene: Staff/children wash hands on arrival, before eating, after toileting (audited monthly). • Cleaning: High-touch surfaces (door handles, iPads) cleaned mid-day and end-of-day.</t>
  </si>
  <si>
    <t>P19-A</t>
  </si>
  <si>
    <t>P19</t>
  </si>
  <si>
    <t>P20-A</t>
  </si>
  <si>
    <t>P20</t>
  </si>
  <si>
    <t>Large Loose Parts (Nursery) (National Reg 100, 101 &amp; 115)</t>
  </si>
  <si>
    <t>24/06/2025</t>
  </si>
  <si>
    <t>-Climbing course; through an upright tyre, supported against the wall and a wooden pallet.</t>
  </si>
  <si>
    <t>the children have a potential to trip or fall off pallet, bump into the side of the pallet, potential to knock the tyre over.</t>
  </si>
  <si>
    <t>Covering the pallet with fabric to ensure the edges aren't too hard and sharp</t>
  </si>
  <si>
    <t>Miss Yasmin Austen</t>
  </si>
  <si>
    <t>P21-A</t>
  </si>
  <si>
    <t>P21</t>
  </si>
  <si>
    <t>Large Loose Parts Resources &amp; Activity (Outdoor Safety) (National Reg 103, 167, 168 &amp; 93)</t>
  </si>
  <si>
    <t>Climbing course; through an upright tyre, supported against the wall and a wooden pallet.</t>
  </si>
  <si>
    <t>F17-C</t>
  </si>
  <si>
    <t>Trapped in building</t>
  </si>
  <si>
    <t>Facilities, building environment and equipment</t>
  </si>
  <si>
    <t>Being trapped in building all door locked in not able to evacuate in an emergency.</t>
  </si>
  <si>
    <t>Use school phones or your own mobile phone to contact emergency services first on 000. If not emergency contact the Nominate Supervisor or Approved Provider. Keep people with calm and grab Evac. Kit, Emergency Evacuation Plan and First Aid Kit. If no emergency services respond, consider means of evacuation, depending on the circumstance, look at break doors and window with nearby equipment in safe manner keeping children away from potential hazards. Look at escaping from exiting from the playscape and through other emergency exits (eg down carpark ramp of secondary egress shown on the plan near the playscape). Please ensure you bring a Evac. Kit, First Aid Kit and Emergency Evacuation Plan which in on the wall near exit signs. Be in constant communication with emergency services and ensure that children are supervisor by Staff at all times.</t>
  </si>
  <si>
    <t>F15-A</t>
  </si>
  <si>
    <t>F15</t>
  </si>
  <si>
    <t>Manual Handling (Staff Safety / WHS) - Relevant Regulations: National Regulation 168(2)(h) (Providing a Child Safe Environment), WHS Act 2020 (WA)</t>
  </si>
  <si>
    <t>Organisational &amp; Corporate Activity</t>
  </si>
  <si>
    <t>Lifting Children (Nappy change/Cots)</t>
  </si>
  <si>
    <t>Facilities, building environment and equipment; Manual Handling; People</t>
  </si>
  <si>
    <t>Back injury, strain, cumulative trauma disorders.</t>
  </si>
  <si>
    <t>• Steps/Ladders: Use steps for children to climb onto changing mats (toddlers+) to reduce lifting. • Cot Height: Adjustable cots raised before lifting baby. Drop sides used correctly. • Technique: "Bend knees, keep load close." Staff trained not to lift children from the floor while twisting.</t>
  </si>
  <si>
    <t>P22-A</t>
  </si>
  <si>
    <t>P22</t>
  </si>
  <si>
    <t>F28-B</t>
  </si>
  <si>
    <t>Facilities, building environment and equipment; People</t>
  </si>
  <si>
    <t>P36-A</t>
  </si>
  <si>
    <t>Sensory Tray with plastic easter eggs and shredded paper.</t>
  </si>
  <si>
    <t>On the package of the easter eggs is says +3 of age</t>
  </si>
  <si>
    <t>CLosely supervison</t>
  </si>
  <si>
    <t>F36-E</t>
  </si>
  <si>
    <t>Motion Sickness / Vomiting</t>
  </si>
  <si>
    <t>Energy systems; Vehicles, machinery and equipment; Socio-emotional; People</t>
  </si>
  <si>
    <t>Distress, hygiene hazard.</t>
  </si>
  <si>
    <t>• Preparation: Vomit bags, wipes, and change of clothes carried in the main "Excursion Bag". • Seating: Prone children seated at the front near the driver/air flow. • Water: Frequent sips of water encouraged.</t>
  </si>
  <si>
    <t>F11-B</t>
  </si>
  <si>
    <t>Child Escape for Reception Down the Lift</t>
  </si>
  <si>
    <t>Child Trauma, abduction, lost child.</t>
  </si>
  <si>
    <t>- The Lift requires a pin to operate or call and use. Children would need to go through two other physcial barriers before getting into the reception</t>
  </si>
  <si>
    <t>P18-B</t>
  </si>
  <si>
    <t>F30-B</t>
  </si>
  <si>
    <t>Unnoticed Distress</t>
  </si>
  <si>
    <t>Biological; Environmental; Facilities, building environment and equipment; People</t>
  </si>
  <si>
    <t>Child vomit/choking, stopped breathing.</t>
  </si>
  <si>
    <t>• Physical checks of breathing/skin color every 10 minutes (documented on sleep chart). • Room lighting kept sufficient to clearly see children's faces. Staff to monitor the Sleep Room Screens at all times. Following SIDS and follow the School Sleep and Rest Policy</t>
  </si>
  <si>
    <t>F39-A</t>
  </si>
  <si>
    <t>F39</t>
  </si>
  <si>
    <t>Water Safety Risk Assessment (National Regulation 168 &amp; 101A)</t>
  </si>
  <si>
    <t>Drowning / Submersion</t>
  </si>
  <si>
    <t>Environmental; Facilities, building environment and equipment; People</t>
  </si>
  <si>
    <t>Silent drowning, inhalation of water, fatality.</t>
  </si>
  <si>
    <t>• Active Supervision: An educator must be within arm's reach of the water activity at all times. • Water level kept shallow (e.g., below 5cm for toddlers). • Troughs/containers emptied immediately after the activity concludes. • Troughs stored upside down so they cannot collect rain/water.</t>
  </si>
  <si>
    <t>P47-A</t>
  </si>
  <si>
    <t>P47</t>
  </si>
  <si>
    <t>F14-C</t>
  </si>
  <si>
    <t>F14</t>
  </si>
  <si>
    <t>Lift Breakdown / Entrapment (National Regulation 168)</t>
  </si>
  <si>
    <t>v</t>
  </si>
  <si>
    <t>Environmental; Facilities, building environment and equipment; Socio-emotional; People</t>
  </si>
  <si>
    <t>Delay in first aid/CPR access.</t>
  </si>
  <si>
    <t>Staffing: Educator in the lift must have a mobile phone/walkie-talkie to communicate with the Director/First Aid Officer outside. Access: Emergency keys (drop key) available to Fire Brigade for manual door opening.</t>
  </si>
  <si>
    <t>F15-B</t>
  </si>
  <si>
    <t>Moving Equipment (Tables/Play Gyms)</t>
  </si>
  <si>
    <t>Crush injury, strain.</t>
  </si>
  <si>
    <t>• Team Lift: Heavy outdoor equipment requires two people to move. • Wheels: Use trolleys for moving heavy resources or meal creates. • Furniture Layout: Room designed to minimize the need for daily furniture moving</t>
  </si>
  <si>
    <t>F33-A</t>
  </si>
  <si>
    <t>Sunburn / UV Damage</t>
  </si>
  <si>
    <t>Skin damage, long-term cancer risk, pain.</t>
  </si>
  <si>
    <t>• UV Check: Daily UV Index checked via SunSmart app; displayed for families/staff. • Timing: Outdoor play minimized or shaded between 11am and 3pm (or when UV &gt; 3). • Protection: "No Hat, No Play" enforced. Broad-brimmed hats required.</t>
  </si>
  <si>
    <t>F37-B</t>
  </si>
  <si>
    <t>F37</t>
  </si>
  <si>
    <t>Transportation: Regular Transport (National Regulation 102B - 102D) - School Does Not Do this.</t>
  </si>
  <si>
    <t>Unrestrained Child</t>
  </si>
  <si>
    <t>Injury during braking or collision.</t>
  </si>
  <si>
    <t>• Seatbelts/restraints checked for compliance with Australian Standards. • Staff member seated in a position to supervise all children during transit. • Driver must not be counted in the supervision ratio if driving interferes with supervision duties.</t>
  </si>
  <si>
    <t>F40-E</t>
  </si>
  <si>
    <t>F40</t>
  </si>
  <si>
    <t>Wooden Pallets in Play Areas Risk Matrix Guide Activity (Reg 73, 93, 103, 167, 168 &amp; 170)</t>
  </si>
  <si>
    <t>18/01/2026</t>
  </si>
  <si>
    <t>Stability</t>
  </si>
  <si>
    <t>Critical Incident; Facilities, building environment and equipment; Manual Handling; People</t>
  </si>
  <si>
    <t>Toppling or crushing injuries if stacked or climbed.</t>
  </si>
  <si>
    <t>P03-B</t>
  </si>
  <si>
    <t>P03</t>
  </si>
  <si>
    <t>Bubbles (National Reg 93, 103, &amp; 168) Resources</t>
  </si>
  <si>
    <t>Bubbles</t>
  </si>
  <si>
    <t>If left unsupervised with an open bottle of bubbles children may ingest the mixture. If bubble machine left unsupervised and in the reach children could ingest the mixture</t>
  </si>
  <si>
    <t>Supervise children at all times, educators to always hold the bottle with mixture ubble machine should be positioned so it is out of reach of children</t>
  </si>
  <si>
    <t>Mira Kelsey and Yasmin Austen</t>
  </si>
  <si>
    <t>P22-B</t>
  </si>
  <si>
    <t>P25-B</t>
  </si>
  <si>
    <t>During the leaving removal of the old printer child escapes</t>
  </si>
  <si>
    <t>Child escape during the removing of the printer by the intstaller</t>
  </si>
  <si>
    <t>Ensure that this acitivities is done during children sleep time all studio doors are locked</t>
  </si>
  <si>
    <t>P41-A</t>
  </si>
  <si>
    <t>P48-E</t>
  </si>
  <si>
    <t>P48</t>
  </si>
  <si>
    <t>16/01/2026</t>
  </si>
  <si>
    <t>F13-A</t>
  </si>
  <si>
    <t>F13</t>
  </si>
  <si>
    <t>Kitchen Fire / Internal Smoke (National Regulation 97)</t>
  </si>
  <si>
    <t>Smoke Spreading to Playrooms</t>
  </si>
  <si>
    <t>Chemical; Critical Incident; Environmental; Facilities, building environment and equipment; People</t>
  </si>
  <si>
    <t>Asthma triggers, coughing, eye irritation.</t>
  </si>
  <si>
    <t>The HVAC system includes an automatic shutdown switch to prevent smoke spread. A fire blanket and BE Type fire extinguisher are located 1 metre from the stove for easy access. A self-closing solid core fire door is installed in the studio, and gas and power are isolated when the fire alarm activates. Additionally, a fire deluge system in the kitchen is designed to suppress large fires.</t>
  </si>
  <si>
    <t>School Chef</t>
  </si>
  <si>
    <t>F16-B</t>
  </si>
  <si>
    <t>F16</t>
  </si>
  <si>
    <t>Medical Conditions / Anaphylaxis (National Regulation 90)</t>
  </si>
  <si>
    <t>Delay in Medication Administration</t>
  </si>
  <si>
    <t>Biological; Critical Incident; People</t>
  </si>
  <si>
    <t>Worsening condition, critical illness.</t>
  </si>
  <si>
    <t>• Child's EpiPen/Auto-injector stored in an unlocked, easily accessible, clearly labelled location. • All staff trained in anaphylaxis management annually. • Risk minimisation plan reviewed annually or upon change of medical status. • "Mock" emergency drill conducted for anaphylaxis response.</t>
  </si>
  <si>
    <t>P04-C</t>
  </si>
  <si>
    <t>Smoke &amp; Poor Air Quality (Health / Respiratory)</t>
  </si>
  <si>
    <t>Biological; Chemical; Critical Incident; Energy systems; Environmental; Facilities, building environment and equipment; People</t>
  </si>
  <si>
    <t>(Health / Respiratory) Smoke drift from external fires causing asthma attacks or respiratory distress.) Smoke drift from external fires causing asthma attacks or respiratory distress.</t>
  </si>
  <si>
    <t>• Indoor Protocol: Close all windows/doors; A/C on 'Recirculate'. • Medical: Asthma Action Plans current; Ventolin in first aid kits. • Outdoor Play: Suspended if air quality is poor/visible smoke.</t>
  </si>
  <si>
    <t>F22-A</t>
  </si>
  <si>
    <t>F22</t>
  </si>
  <si>
    <t>Potential Emergency Sistuations (Natural Disasters, Infrastructure Failure, Secruity Risks, Health &amp; Safety (National Reg. 97)</t>
  </si>
  <si>
    <t>21/02/2025</t>
  </si>
  <si>
    <t>Natural disasters</t>
  </si>
  <si>
    <t>Environmental</t>
  </si>
  <si>
    <t>Earthquake Severe Storm/ Cyclone/ Dust storm(cid:9)Blizzard/ Ice storm/ Hail</t>
  </si>
  <si>
    <t>Safety guidelines will be followed if any of these incidents should occur</t>
  </si>
  <si>
    <t>P28-A</t>
  </si>
  <si>
    <t>P28</t>
  </si>
  <si>
    <t>F03-B</t>
  </si>
  <si>
    <t>Grooming / Boundary Violations</t>
  </si>
  <si>
    <t>Sexual/Physical abuse, psychological harm.</t>
  </si>
  <si>
    <t>• Code of Conduct: Signed by all staff; includes social media ban (no friending families/children). • "Two- Person" Rule: Staff prohibited from being alone with a single child in isolated areas (store rooms, Laundry closed toilets). The is designed to have areas covered with CCTV which children would be present, also the school has significant amount of glass walls.Therefoe, • Visibility: All rooms/nappy areas have viewing windows to ensure visibility.</t>
  </si>
  <si>
    <t>F20-A</t>
  </si>
  <si>
    <t>F20</t>
  </si>
  <si>
    <t>New or Current Educational Resources/Experience (National Reg. 113,165 &amp; 167)</t>
  </si>
  <si>
    <t>4/12/2025</t>
  </si>
  <si>
    <t>Visiting the vegetable garden</t>
  </si>
  <si>
    <t>-Consuming vegetable matter -Entering the toddler garden space: new risky play hazards for the space. Sun exposure.</t>
  </si>
  <si>
    <t>-Supervision: ratio 1 educator to 2 nursery children (double the ratio)</t>
  </si>
  <si>
    <t>Yasmin Austen</t>
  </si>
  <si>
    <t>P05-B</t>
  </si>
  <si>
    <t>P38-A</t>
  </si>
  <si>
    <t>P38</t>
  </si>
  <si>
    <t>Sensory Tray Resources (National Reg 77, 100, 101, 115)</t>
  </si>
  <si>
    <t>29/04/2025</t>
  </si>
  <si>
    <t>K3 children using small scoops and funnels, they practice transferring chickpeas into different contianers</t>
  </si>
  <si>
    <t>-Choking hazard -Allergy -Stuck chickpeas in nose/ear -Slip hazard</t>
  </si>
  <si>
    <t>Close supervision, clear role modeling of play, prompt pack away when finished or no close supervision</t>
  </si>
  <si>
    <t>Natasha Soni (K3 Studio Lead)</t>
  </si>
  <si>
    <t>P38-B</t>
  </si>
  <si>
    <t>Chickpea play</t>
  </si>
  <si>
    <t>-Stuck up nose</t>
  </si>
  <si>
    <t>Close supervision</t>
  </si>
  <si>
    <t>Natasha Soni</t>
  </si>
  <si>
    <t>P39-A</t>
  </si>
  <si>
    <t>P39</t>
  </si>
  <si>
    <t>Sensory Tray Resources Activity (Reg 73, 93, 103, 167, 168 &amp; 170)</t>
  </si>
  <si>
    <t>P39-B</t>
  </si>
  <si>
    <t>P40-A</t>
  </si>
  <si>
    <t>P40</t>
  </si>
  <si>
    <t>Summer's House Toddler big side garden, near the lemon tree Activity (National Reg. 101, 114, 115)</t>
  </si>
  <si>
    <t>10/10/2025</t>
  </si>
  <si>
    <t>Gardening</t>
  </si>
  <si>
    <t>-minor injuries like splinters and foreign matter in eyes. -sunburn - possible consumptions of plants and soil</t>
  </si>
  <si>
    <t>-Supervision and sun safety</t>
  </si>
  <si>
    <t>Mette Jenson</t>
  </si>
  <si>
    <t>P44-A</t>
  </si>
  <si>
    <t>P44</t>
  </si>
  <si>
    <t>Visiting the vegetable and flower garden in the Toddler Yard Experience (National Reg 77, 78, 101, 114, 115)</t>
  </si>
  <si>
    <t>17/10/2025</t>
  </si>
  <si>
    <t>P49-A</t>
  </si>
  <si>
    <t>P49</t>
  </si>
  <si>
    <t>Glass spice jars - New or Current Educational Resources/Experience</t>
  </si>
  <si>
    <t>Children will use clean, empty glass spice jars during dramatic play to represent cooking ingredients, shop items or other imaginative props.</t>
  </si>
  <si>
    <t>Jars may be dropped and break, creating sharp edges that could cause cuts; jars left on the floor may create a trip hazard; children may throw jars or use them to hit others.</t>
  </si>
  <si>
    <t>Inspect jars before each use to ensure they are free from cracks or chips; remove any damaged jars immediately; if a jar breaks remove children from the area and clean up broken glass; educators actively supervise the experience; discuss expectations for safe use before the activity; redirect unsafe behaviour immediately.</t>
  </si>
  <si>
    <t>P51-A</t>
  </si>
  <si>
    <t>P51</t>
  </si>
  <si>
    <t>Pipe connecting toys ( New or Current Educational Resources/Experience)</t>
  </si>
  <si>
    <t>26/06/2026</t>
  </si>
  <si>
    <t>Children will connect and manipulate interlocking pipe pieces to build different structures.</t>
  </si>
  <si>
    <t>Children may throw pieces causing injury; loose pieces left on the floor may create a trip hazard; small connector pieces or wheels may present a choking hazard if placed in the mouth.</t>
  </si>
  <si>
    <t>Educators actively supervise the experience; discuss and reinforce expectations for safe play including no throwing; prompt children to collect unused pieces and pack away the resource after use; redirect unsafe behaviour immediately and remove the resource if necessary; remove any damaged or broken pieces immediately.</t>
  </si>
  <si>
    <t>P53-A</t>
  </si>
  <si>
    <t>P53</t>
  </si>
  <si>
    <t>The K4 children will be walking to and dining at Ischia - Excursion and Transport</t>
  </si>
  <si>
    <t>15/06/2026</t>
  </si>
  <si>
    <t>Walking to Ischia where the children will order food and drinks.</t>
  </si>
  <si>
    <t>Biological; Critical Incident; Environmental; Facilities, building environment and equipment; Socio-emotional</t>
  </si>
  <si>
    <t>Children separating from the group during the walk, road or traffic hazards when crossing streets or walking near roads, slips, trips or falls while walking, allergic reactions or dietary concerns relating to food/drinks, burns or spills from hot food/drinks</t>
  </si>
  <si>
    <t>Children will wear excursion vests, regular headcounts will be completed, educators will discuss road safety expectations before leaving and support children during road crossings, children’s allergies and dietary requirements will be communicated to the restaurant and educators will supervise food choices, educators will carry emergency contact details, medication and a first aid kit, children will be supported to choose suitable food/drinks and hot items will be avoided where possible</t>
  </si>
  <si>
    <t>P55-A</t>
  </si>
  <si>
    <t>P55</t>
  </si>
  <si>
    <t>The K4 children will be walking to Norwood Park (Execursion Regular)</t>
  </si>
  <si>
    <t>The children will be walking to and from Norwood Park to collect natural materials to use in educational experiences.</t>
  </si>
  <si>
    <t>Children leaving the group/becoming separated, trips, slips, or falls on uneven ground, insect bites, exposure to the sun, allergic reaction to environmental allergens, interactions with unfamiliar members of the public, emotional distress if a child becomes overwhelmed during the walk</t>
  </si>
  <si>
    <t>Maintain educator-to-child ratios and active supervision at all times, complete headcounts before, during, and after the walk, reinforce safety expectations to the children prior to leaving, the children will be wearing high-vis vests, educators to assess the environment upon arrival for any hazards, the children will be wearing sun-safe clothing and appropriate footwear, educators will remain vigilant around members of the public, carry first aid kit, emergency contact information</t>
  </si>
  <si>
    <t>F09-B</t>
  </si>
  <si>
    <t>Food Poisoning / Spoilage</t>
  </si>
  <si>
    <t>Bacterial growth (Salmonella, Listeria) causing illness.</t>
  </si>
  <si>
    <t>• Temp Checks: Fridge temperatures checked and logged daily (&lt;5°C). Food reheated to &gt;75°C. • 2-Hour/4- Hour Rule: Food not left out at room temperature for &gt;2 hours. • Supplier Check: Use reputable suppliers; inspect deliveries for damaged packaging or temp issues. Annual Indepedent Audit food Standards and Inspections.</t>
  </si>
  <si>
    <t>F22-B</t>
  </si>
  <si>
    <t>uncontrolled emergencies</t>
  </si>
  <si>
    <t>Chemical; Critical Incident; Energy systems; Facilities, building environment and equipment; Vehicles, machinery and equipment</t>
  </si>
  <si>
    <t>Utility outage/Electricity Hazard, Loss of or contamination of water supply, Road accident/ Car/Truck/Train Sewerage spill, Gas leeks, Building collapse Wild animal</t>
  </si>
  <si>
    <t>Polices and procedures are in place to minimise</t>
  </si>
  <si>
    <t>F23-B</t>
  </si>
  <si>
    <t>Loss of Visibility</t>
  </si>
  <si>
    <t>Tripping, bumping into furniture, fear.</t>
  </si>
  <si>
    <t>Emergency Lighting: Installed in all playrooms, bathrooms, and corridors (tested 6-monthly). Torches: Heavy-duty torches located in every room's emergency evacuation bag. • Activity: Educators gather children on the mat for "quiet time" until eyes adjust or power returns.</t>
  </si>
  <si>
    <t>F29-D</t>
  </si>
  <si>
    <t>F29</t>
  </si>
  <si>
    <t>Severe Weather / Storm (National Regulation 168)</t>
  </si>
  <si>
    <t>Server Rain Event</t>
  </si>
  <si>
    <t>Child or Staff could slip and hurt their heads</t>
  </si>
  <si>
    <t>Staff to look at weekly weather forecast and also do playspace inspections prior to undertaking play activity. In the event of storm childern are to be relocated undercover or in Studios</t>
  </si>
  <si>
    <t>F30-C</t>
  </si>
  <si>
    <t>Environmental Hazards</t>
  </si>
  <si>
    <t>Heat stress or cold stress.</t>
  </si>
  <si>
    <t>• Room temperature monitored and recorded. • Cots positioned away from blind cords, power points, or heaters. • Adequate ventilation ensured.</t>
  </si>
  <si>
    <t>F38-A</t>
  </si>
  <si>
    <t>Inappropriate Discipline / Conduct</t>
  </si>
  <si>
    <t>Psychological harm, breach of child rights.</t>
  </si>
  <si>
    <t>• Induction: Full induction regarding Code of Conduct and Child Protection policies before starting. • "Never Alone" Rule: Students/Volunteers must never be left alone with children or counted in ratios. • identification: Must wear a specific badge (e.g., "Student" or "Volunteer") to distinguish them from qualified staff.</t>
  </si>
  <si>
    <t>F39-B</t>
  </si>
  <si>
    <t>Slips and Falls</t>
  </si>
  <si>
    <t>Head injury, fractures, bruising.</t>
  </si>
  <si>
    <t>• Limit the number of children at the trough to prevent overcrowding. • Encourage walking feet only around sensory stations. • Place non-slip mats under water troughs. • Educators to mop up/squeegee spills immediately.</t>
  </si>
  <si>
    <t>P16-B</t>
  </si>
  <si>
    <t>P28-B</t>
  </si>
  <si>
    <t>P35-C</t>
  </si>
  <si>
    <t>P35</t>
  </si>
  <si>
    <t>School Event - Toddler Studio Easter Stay and Play (General or Special or Incursion) (National Reg. 101, 103 &amp; 115)</t>
  </si>
  <si>
    <t>P1 - Playspace Toddlers Summers House</t>
  </si>
  <si>
    <t>Obstacle course - Easter themed</t>
  </si>
  <si>
    <t>Children could fall over while balancing, trip over while jumping</t>
  </si>
  <si>
    <t>Close supervision and assisting the children if needed by holding hands or standing close</t>
  </si>
  <si>
    <t>Samantha Mosely</t>
  </si>
  <si>
    <t>P45-A</t>
  </si>
  <si>
    <t>P47-B</t>
  </si>
  <si>
    <t>F13-B</t>
  </si>
  <si>
    <t>Burns to Staff/Children</t>
  </si>
  <si>
    <t>Critical Incident; Energy systems; People</t>
  </si>
  <si>
    <t>Serious burn injury.</t>
  </si>
  <si>
    <t>Exclusion Zone: Children strictly prohibited from entering the kitchen (child cannot entery kitchen as key pad lock installed). Drill: Staff trained in "R.A.C.E" (Remove, Alarm, Contain, Extinguish/Evacuate).</t>
  </si>
  <si>
    <t>F39-D</t>
  </si>
  <si>
    <t>Child Submerging its head in Toliet Bowel</t>
  </si>
  <si>
    <t>Silent drowning, inhalation of water.</t>
  </si>
  <si>
    <t>Active Supervision: An educator must be within arm's reach of the water activity at all times.</t>
  </si>
  <si>
    <t>P47-D</t>
  </si>
  <si>
    <t>F12-C</t>
  </si>
  <si>
    <t>Cross-Contamination (Toys/Bedding)</t>
  </si>
  <si>
    <t>Biological; Chemical; Facilities, building environment and equipment; People</t>
  </si>
  <si>
    <t>Germ transfer via shared mouthed toys or bedding.</t>
  </si>
  <si>
    <t>• Toy Washing: "Mouthed" toys removed immediately to a "wash bin." Regular toy rotation and sanitisation schedule. • Bedding: Individual bedding for each child; stored separately (not touching) or sent home weekly for washing.</t>
  </si>
  <si>
    <t>Studio</t>
  </si>
  <si>
    <t>F34-E</t>
  </si>
  <si>
    <t>Sun Exposure / UV Radiation</t>
  </si>
  <si>
    <t>Energy systems; Environmental; Socio-emotional; People</t>
  </si>
  <si>
    <t>Sunburn, dehydration, heat stress.</t>
  </si>
  <si>
    <t>• Check UV index before departure. • Apply sunscreen 20 mins before leaving and reapply every 2 hours. • Hats required for all children and staff. • Excursion timed to avoid peak UV times (11 am – 3 pm) if possible. • Water bottles packed for every child.</t>
  </si>
  <si>
    <t>P19-C</t>
  </si>
  <si>
    <t>F11-C</t>
  </si>
  <si>
    <t>Child Hiding</t>
  </si>
  <si>
    <t>Facilities, building environment and equipment; Socio-emotional; People</t>
  </si>
  <si>
    <t>Distress, delay in locating child.</t>
  </si>
  <si>
    <t>• Regular headcounts during transitions (indoors to outdoors). • Hiding spots in the playground (bushes/cubbies) checked regularly. • Missing Child Procedure displayed clearly for staff (Who searches inside? Who searches perimeter?).</t>
  </si>
  <si>
    <t>P03-A</t>
  </si>
  <si>
    <t>Ensure that children are supervised at all times and that an educator is in charge of holding the bottle of mixture or the machine is positioned out of reach. The bubbles can be stored in the studio but need to be out of reach of children</t>
  </si>
  <si>
    <t>P18-C</t>
  </si>
  <si>
    <t>P20-C</t>
  </si>
  <si>
    <t>Climbing through the the tyre</t>
  </si>
  <si>
    <t>-The tyre could get pushed over onto a child</t>
  </si>
  <si>
    <t>Close supervision by an educator</t>
  </si>
  <si>
    <t>P21-C</t>
  </si>
  <si>
    <t>P34-C</t>
  </si>
  <si>
    <t>Children walking out of doors left open by parents</t>
  </si>
  <si>
    <t>Educators will ensure they are supervising the doors and doing regular head counts</t>
  </si>
  <si>
    <t>P43-A</t>
  </si>
  <si>
    <t>P43</t>
  </si>
  <si>
    <t>Using child safe knives during cooking experiences in Kindergarten (National Reg. 77, 101 &amp; 167 )</t>
  </si>
  <si>
    <t>P1 - K3 Pre-Kindergarten 3 Studio</t>
  </si>
  <si>
    <t>4/03/2025</t>
  </si>
  <si>
    <t>Children will use the knives, supervised by educator during cooking experiences in the studio</t>
  </si>
  <si>
    <t>Manual Handling</t>
  </si>
  <si>
    <t>- Child could cut themselves whilst using the knives.</t>
  </si>
  <si>
    <t>Educator to ensure they are closely supervising children whilst using the knives.</t>
  </si>
  <si>
    <t>Educators who are running the experience</t>
  </si>
  <si>
    <t>P43-B</t>
  </si>
  <si>
    <t>Cooking/ chopping foods experiences with children</t>
  </si>
  <si>
    <t>- child could cut themselves whilst using the knife</t>
  </si>
  <si>
    <t>Children will be supervised during cooking experience</t>
  </si>
  <si>
    <t>Educator running the experience</t>
  </si>
  <si>
    <t>F32-B</t>
  </si>
  <si>
    <t>Independent play with stationary resources</t>
  </si>
  <si>
    <t>Cut fingers, hair, pinch body parts</t>
  </si>
  <si>
    <t>Educator Supervision, children taught how to use safely</t>
  </si>
  <si>
    <t>F33-B</t>
  </si>
  <si>
    <t>Heat Stress / Dehydration</t>
  </si>
  <si>
    <t>Fainting, heat stroke, lethargy.</t>
  </si>
  <si>
    <t>• Hydration: Water stations set up outside; educators verbally prompt "drink breaks" every 20-30 mins. • Environment: Equipment checked for surface heat (slides/metal) before children play. Children to wear hats and also staff are fill water bottles and clean them regularly.</t>
  </si>
  <si>
    <t>P41-B</t>
  </si>
  <si>
    <t>P52-A</t>
  </si>
  <si>
    <t>P52</t>
  </si>
  <si>
    <t>The children will be using child safe knives to cut a variety of food (New or Current Educational Resources/Experience)</t>
  </si>
  <si>
    <t>2/06/2026</t>
  </si>
  <si>
    <t>The children will be using the knives to engage in food preparation</t>
  </si>
  <si>
    <t>A child may scratch or cut themselves on the knifes blade</t>
  </si>
  <si>
    <t>The children will use the knives in small groups (maximum of 2 children) for the purpose of concentrated supervision</t>
  </si>
  <si>
    <t>F19-B</t>
  </si>
  <si>
    <t>Intrusion of Privacy &amp; Dignity</t>
  </si>
  <si>
    <t>Dignity / Child Protection issue.</t>
  </si>
  <si>
    <t>• Location: Nappy change area is visible to other staff (glass viewing panel) but private from public view. • Procedure: Educator explains to the child what they are doing to promote bodily autonomy. • Supervision Glazing: Low-height windows or glass partitions allow staff to see out into the room for ratios, but obscure the view of the nappy area from visitors. • Interaction: Staff talk to the child (e.g., "I'm going to wipe your tummy now") rather than talking over them to other staff.</t>
  </si>
  <si>
    <t>Studio Educator</t>
  </si>
  <si>
    <t>Low - 4</t>
  </si>
  <si>
    <t>P13-A</t>
  </si>
  <si>
    <t>P13</t>
  </si>
  <si>
    <t>Excursion out of school in pushchair (Fremantle) (National Reg 100, 101, 102)</t>
  </si>
  <si>
    <t>Excursion in pushchair</t>
  </si>
  <si>
    <t>Environmental; Socio-emotional</t>
  </si>
  <si>
    <t>Environmental - Bad/wet/stormy weather. Road/building works happening around the area causing noises/dust. Social/emotional - Children becoming upset during the excursion</t>
  </si>
  <si>
    <t>Check weather report before excursion</t>
  </si>
  <si>
    <t>Studio lead - Responsible person</t>
  </si>
  <si>
    <t>P24-B</t>
  </si>
  <si>
    <t>P26-A</t>
  </si>
  <si>
    <t>P26</t>
  </si>
  <si>
    <t>Nursery and Toddlers. Excursions outside of the school with the children and educators (National Reg 100, 101 &amp; 102)</t>
  </si>
  <si>
    <t>F07-B</t>
  </si>
  <si>
    <t>Visual Exposure to Threat</t>
  </si>
  <si>
    <t>Psychological distress.</t>
  </si>
  <si>
    <t>• Blinds/curtains fitted on all external windows to be closed immediately during lockdown. • Lights turned off to make the building appear unoccupied. • Children engaged in quiet activities (reading/puzzles) to maintain calm. Lock all doors and slider internally.</t>
  </si>
  <si>
    <t>Low - 3</t>
  </si>
  <si>
    <t>F40-A</t>
  </si>
  <si>
    <t>Toxicological</t>
  </si>
  <si>
    <t>Chemical poisoning (Methyl Bromide); heavy metal exposure.</t>
  </si>
  <si>
    <t>Verify Stamps: Only use pallets marked HT (Heat Treated). Reject all MB (Methyl Bromide) or unmarked pallets.</t>
  </si>
  <si>
    <t>Critical - 20</t>
  </si>
  <si>
    <t>Moderate - 5</t>
  </si>
  <si>
    <t>P11-C</t>
  </si>
  <si>
    <t>P11</t>
  </si>
  <si>
    <t>Excursion and Transportation to Perth Zoo (National Reg 100 &amp; 101)</t>
  </si>
  <si>
    <t>27/11/2024</t>
  </si>
  <si>
    <t>Walking to the Zoo and child walking into traffic</t>
  </si>
  <si>
    <t>Critical Incident; Vehicles, machinery and equipment</t>
  </si>
  <si>
    <t>Child walking onto Road without Supervsion</t>
  </si>
  <si>
    <t>Ensure that children hold hands to guide rope. Staff to be between road and children on foot path. Over ratio Staff and reduce likilhood of incident</t>
  </si>
  <si>
    <t>P48-A</t>
  </si>
  <si>
    <t>F40-C</t>
  </si>
  <si>
    <t>Entrapment</t>
  </si>
  <si>
    <t>Environmental; Facilities, building environment and equipment</t>
  </si>
  <si>
    <t>Head, neck, or finger entrapment between slats.</t>
  </si>
  <si>
    <t>Standardize Gaps: Cover pallet tops with marine plywood or add extra slats so gaps are &lt; 25mm or &gt; 230mm.</t>
  </si>
  <si>
    <t>P01-A</t>
  </si>
  <si>
    <t>P01</t>
  </si>
  <si>
    <t>Allergy - allergic reaction, preparation and serving of food to children with Allergies (National Reg 90, 162)</t>
  </si>
  <si>
    <t>27/10/2025</t>
  </si>
  <si>
    <t>Meal times</t>
  </si>
  <si>
    <t>Allergic reaction, anaphylaxis</t>
  </si>
  <si>
    <t>Allergy Charts, Allergy bowls, children's own labels, supervision to prevent sharing food</t>
  </si>
  <si>
    <t>Educators serving food, bottle and running experiences</t>
  </si>
  <si>
    <t>P33-A</t>
  </si>
  <si>
    <t>P33</t>
  </si>
  <si>
    <t>Safe Sleeping - Whole School (National Reg 84C, 103, 115, 84B)</t>
  </si>
  <si>
    <t>Safe Sleep and rest practices in children Under 2 years of age(Nursery &amp; T1 &amp;T2)</t>
  </si>
  <si>
    <t>The units/equipment, Blinds, sleep comforters and dummies, sheet bags, Awake children or waking children. The sleep and rest needs of children at the service will need to be individually planned for if there are any risks that pose considering: specific health care needs, cultural preferences, sleep and rest needs of these individual children</t>
  </si>
  <si>
    <t>Educators will be supervising children at all times - live monitor and camera in the Cot rooms and physical presence in the Toddler Studios. 10 minute physical sleep checks for children under 2 years recorded in real time on Early Works. All equipment to be placed away from the mattresses and cots. Sheet bags to be placed under mattresses for bed sleepers and out of reach of cots. Blinds to be regularly checked and any hazards reported. Comforter's to be taken after child is asleep if they are under 2 years old. Explain and listen to the parents regarding their childs sleep needs, ensuring that we continue to adhere to safe sleeping and respectfully explain our policy and offer an alternate solution if required. (e.g jewellery etc)</t>
  </si>
  <si>
    <t>Educators conducting sleep checks and supervision covered by Studio Leads and ECTs are recorded in real time.</t>
  </si>
  <si>
    <t>P48-C</t>
  </si>
  <si>
    <t>F08-A</t>
  </si>
  <si>
    <t>F08</t>
  </si>
  <si>
    <t>Fire Evacuation Multi-Story (National Regulation 97)</t>
  </si>
  <si>
    <t>Inability to Use Lifts as Fire is located in that area.</t>
  </si>
  <si>
    <t>Entrapment in lift shaft during fire, smoke inhalation.</t>
  </si>
  <si>
    <t>The school has several egress points, including car park ramps and emergency stairs. Evacuations should utilise the primary staircase in the hallway or the secondary staircase outside the playspace (K3), with the car park ramp for staff and children. Annual drills are required, and lifts must not be used during emergencies. Upon fire alarm activation, gas and electrical services are isolated for safety. The school is equipped with automatic fire doors and sensors that notify the Fire Department directly.</t>
  </si>
  <si>
    <t>F24-C</t>
  </si>
  <si>
    <t>Calling emergency services</t>
  </si>
  <si>
    <t>Delay; incorrect info; miscommunication</t>
  </si>
  <si>
    <t>Clear protocol for calling 000; staff assigned responsibility; up-to-date site and medical info ready</t>
  </si>
  <si>
    <t>F24-E</t>
  </si>
  <si>
    <t>Supporting affected person/ Handover to paramedics</t>
  </si>
  <si>
    <t>Delay in treatment; lack of access to medical info/ Poor information transfer; delayed access</t>
  </si>
  <si>
    <t>Staff prepared with child’s medical info; clear access for ambulance; staff escort paramedics if needed</t>
  </si>
  <si>
    <t>F31-C</t>
  </si>
  <si>
    <t>Clear protocol for calling 000; staff assigned responsibility; up-to-date site and medical info read</t>
  </si>
  <si>
    <t>F31-E</t>
  </si>
  <si>
    <t>P23-C</t>
  </si>
  <si>
    <t>P23-E</t>
  </si>
  <si>
    <t>F08-E</t>
  </si>
  <si>
    <t>Fire in the following location Fixed Plant near or in the Carpark on Level 2 (near playscape)</t>
  </si>
  <si>
    <t>Critical Incident; Energy systems; Environmental; Facilities, building environment and equipment; Vehicles, machinery and equipment; People</t>
  </si>
  <si>
    <t>Fire can be generated and going into the School or / and Smoke could blow into the school</t>
  </si>
  <si>
    <t>Remove children from the Area and begin evacuation. Do not exit via the Secondary Stairs or Carpark Ramp. Use the main lift, which operates as an emergency lift with a 30-minute backup battery. Nursery children will be placed in emergency cots. Automatic fire doors and sensors are installed, with the system connected directly to the Fire Department for prompt response.</t>
  </si>
  <si>
    <t>F25-A</t>
  </si>
  <si>
    <t>Unauthorised Collection</t>
  </si>
  <si>
    <t>Custody breach, abduction.</t>
  </si>
  <si>
    <t>• Authorisation List: Child released only to people listed on enrollment form. • ID Check: Photo ID required for any person staff do not recognise. • Court Orders: Current court orders kept on file; police called immediately if a restricted parent attempts collection.</t>
  </si>
  <si>
    <t>F08-D</t>
  </si>
  <si>
    <t>Non-Ambulatory Evacuation (Babies)</t>
  </si>
  <si>
    <t>Smoke inhalation due to slow movement.</t>
  </si>
  <si>
    <t>Use emergency costs for nursery children to access the main lift, which serves as an emergency lift with a backup battery operating for 30 minutes for evacuation. Nominated "Safety Wardens" will assist in carrying babies. Heavy-duty evacuation cots will be used if a ramp is available; otherwise, evacuation slings/aprons will be used for stairs. A Go-Bag will contain a master list of all children to check off at the assembly point.</t>
  </si>
  <si>
    <t>F22-C</t>
  </si>
  <si>
    <t>Medical and lockdown emergency</t>
  </si>
  <si>
    <t>Biological; Critical Incident; Manual Handling; People</t>
  </si>
  <si>
    <t>Medical situation involving staff member/child/visitor, Missing child , Death of a child and Violent/unknown person</t>
  </si>
  <si>
    <t>Follow school policies and procedures that are in place full training given to all staff regular monthly emergency practices</t>
  </si>
  <si>
    <t>P12-A</t>
  </si>
  <si>
    <t>P12</t>
  </si>
  <si>
    <t>Excursion and Transportation: Going to Get Coffee with K4 at Lady Annie (National Reg 100 &amp; 101))</t>
  </si>
  <si>
    <t>16/11/2024</t>
  </si>
  <si>
    <t>Walking from the school to cafe</t>
  </si>
  <si>
    <t>Critical Incident; Environmental; Facilities, building environment and equipment; Vehicles, machinery and equipment; People</t>
  </si>
  <si>
    <t>Potential for child getting hurt by Cars</t>
  </si>
  <si>
    <t>- We ensure that children hold hands and that we take a route which has minimiumal traffic. - Will also cross roads at registered light crossing</t>
  </si>
  <si>
    <t>Natasha Sonney</t>
  </si>
  <si>
    <t>P28-C</t>
  </si>
  <si>
    <t>F28-A</t>
  </si>
  <si>
    <t>Trigger / Notification</t>
  </si>
  <si>
    <t>Delay in recognising threat; alarm not heard; confusion with other signals</t>
  </si>
  <si>
    <t>Distinct lockdown signal; staff and children trained to respond; regular testing of communication systems</t>
  </si>
  <si>
    <t>Moderate - 4</t>
  </si>
  <si>
    <t>P04-B</t>
  </si>
  <si>
    <t>Internal Building Fire (Kitchen / Electrical /Stores/Laudry etc.)</t>
  </si>
  <si>
    <t>Chemical; Critical Incident; Energy systems; Facilities, building environment and equipment; Vehicles, machinery and equipment; People</t>
  </si>
  <si>
    <t>(Kitchen / Electrical) Fire starting within the premises (cooking, laundry, electrical fault)</t>
  </si>
  <si>
    <t>• Suppression: Fire blankets/extinguishers serviced 6-monthly. • Prevention: Annual Tag &amp; Test of electrical appliances. • Hygiene: Lint filters in dryers cleaned daily; stove tops kept grease-free.</t>
  </si>
  <si>
    <t>P04-D</t>
  </si>
  <si>
    <t>Entrapment / Blocked Exits (Evacuation Failure)</t>
  </si>
  <si>
    <t>Critical Incident; Energy systems; Environmental; Facilities, building environment and equipment; People</t>
  </si>
  <si>
    <t>(Evacuation Failure) Inability to exit the building safely due to clutter or locked gates.</t>
  </si>
  <si>
    <t>• Egress: Daily check that all gates/exits are unlocked and clear. • Drills: Quarterly evacuation practice (varying exits used). • Lighting: Emergency exit signs illuminated and tested.</t>
  </si>
  <si>
    <t>P29-A</t>
  </si>
  <si>
    <t>F19-A</t>
  </si>
  <si>
    <t>Fall from Change Table ((Child rolls or climbs off while unattended or during active movement))</t>
  </si>
  <si>
    <t>Head injury, fractures.</t>
  </si>
  <si>
    <t>• Contact: One hand always on the child while on the table. • Preparation: All supplies (nappy, wipes, cream) prepared before lifting child onto table. • Steps which are located in to allow children to safely go to map. • Positioning: Staff to stand directly in front of the child, blocking the fall path. • Climbing Risks: Remove any objects (bins, shelves) near the table that a child could use to climb up unsupervised.</t>
  </si>
  <si>
    <t>F19-E</t>
  </si>
  <si>
    <t>Chemical Exposure (Access to cleaning sprays/sanitisers)</t>
  </si>
  <si>
    <t>Chemical; Critical Incident; Environmental; People</t>
  </si>
  <si>
    <t>Poisoning, chemical burns, eye irritation.</t>
  </si>
  <si>
    <t>Storage: Cleaning spray bottles must hang on a high hook or shelf out of reach of children standing on the change steps. • Labelling: All bottles clearly labelled with contents (e.g., "Soap Water," "Disinfectant"). • Procedure: Spray is applied to the paper towel/cloth, not sprayed wildly into the air near the child's face.</t>
  </si>
  <si>
    <t>F25-D</t>
  </si>
  <si>
    <t>The "Tailgating" Entry</t>
  </si>
  <si>
    <t>Unauthorised Access: Stranger follows parent through auto-doors. Missing Child: Child slips out while door is held open.</t>
  </si>
  <si>
    <t>• Reception desk faces entry. • High handles on exit buttons (1.5m+). • Self-closing door mechanisms. • Education: Newsletter reminder to parents: "It is not rude to close the door behind you—it is safe."</t>
  </si>
  <si>
    <t>F37-A</t>
  </si>
  <si>
    <t>Child Left on Vehicle</t>
  </si>
  <si>
    <t>Biological; Critical Incident; Environmental; People</t>
  </si>
  <si>
    <t>Heat exhaustion, hyperthermia, fatality.</t>
  </si>
  <si>
    <t>• Headcounts: Conducted upon boarding and alighting.• Vehicle Check: A thorough interior check (under seats, back row) conducted by a designated person after the last child exits. • Dual Verification: A second staff member or nominated supervisor must verify the vehicle is empty and sign a record. • Roll marked immediately upon entering the service premises.</t>
  </si>
  <si>
    <t>P24-A</t>
  </si>
  <si>
    <t>P24-E</t>
  </si>
  <si>
    <t>F25-E</t>
  </si>
  <si>
    <t>High-Rise Windows &amp; Balconies</t>
  </si>
  <si>
    <t>Falls from Height: Furniture placed near windows/balustrades allows climbing. Object Drop: Children throwing toys onto street below.</t>
  </si>
  <si>
    <t>Critical(cid:9) • Windows restrictors (open max 10cm). • "Climb-free zones" marked 1m from all glass/railings. • High balustrades (above code min). • Action: Conduct a "Furniture Audit" monthly to ensure no light furniture (chairs/crates) has migrated to the balcony edge. • Check: Ensure balcony webbing/perspex is intact to prevent "footholds."</t>
  </si>
  <si>
    <t>Michael Sebbag</t>
  </si>
  <si>
    <t>F36-A</t>
  </si>
  <si>
    <t>Separation on Platform / Gap (Train)</t>
  </si>
  <si>
    <t>Child falls onto tracks or into gap; child left on platform as doors close.</t>
  </si>
  <si>
    <t>• Formation: Children lined up against the wall (back to wall) away from the yellow line while waiting. • Boarding: One educator boards first (blocks door open), one educator boards last (sweeps platform). • Identification: All children wear high-vis vests with service phone number. • Counts: Headcount immediately before boarding and immediately after doors close.</t>
  </si>
  <si>
    <t>F02-B</t>
  </si>
  <si>
    <t>Critical Incident; Facilities, building environment and equipment; Socio-emotional; People</t>
  </si>
  <si>
    <t>Burns, fatality, panic.</t>
  </si>
  <si>
    <t>• Egress Routes: Two distinct assembly points identified (primary and secondary) in case one is blocked. • Go-Bags: Emergency bag (containing First Aid, EpiPens, Asthma puffers, parent contact list, mobile phone) located at exit. • Drills: Evacuation drills practiced every 3 months at different times of the day.</t>
  </si>
  <si>
    <t>F27-B</t>
  </si>
  <si>
    <t>F27</t>
  </si>
  <si>
    <t>School Supervision &amp; Ratio Check Assessment (Nationakl Reg 123, 101 &amp; 175)</t>
  </si>
  <si>
    <t>Physical Environment</t>
  </si>
  <si>
    <t>Trips, falls, sharp objects or choking hazards</t>
  </si>
  <si>
    <t>Regular Safety Audits</t>
  </si>
  <si>
    <t>Studio Leads</t>
  </si>
  <si>
    <t>P37-B</t>
  </si>
  <si>
    <t>P37</t>
  </si>
  <si>
    <t>School Supervision Assessment (National Reg 123)</t>
  </si>
  <si>
    <t>12/11/2025</t>
  </si>
  <si>
    <t>F12-B</t>
  </si>
  <si>
    <t>Contact with Bodily Fluids</t>
  </si>
  <si>
    <t>Infection via blood/vomit/saliva (e.g., Hepatitis, Cytomegalovirus).</t>
  </si>
  <si>
    <t>• Spill Kits: Accessible in all rooms. Staff trained in using absorbent powder/PPE. • PPE: Gloves worn for all nappy changes, first aid, and cleaning spills. • Soiled Clothing: Bagged immediately (not rinsed) and placed in a sealed container for collection.</t>
  </si>
  <si>
    <t>F19-D</t>
  </si>
  <si>
    <t>Staff Manual Handling Injury (Repetitive lifting of heavy children 10-15kg)</t>
  </si>
  <si>
    <t>Manual Handling; Socio-emotional; People</t>
  </si>
  <si>
    <t>Back strain, shoulder injury, long-term musculoskeletal disorder.</t>
  </si>
  <si>
    <t>• Steps/Ladders: Install pull-out stairs or a fixed ladder (with handrails) for toddlers (15m+) to climb up to the bench themselves, reducing lifting load. • Lifting Technique: Staff trained to bend knees and keep child close to body. • Rotation: Staff rotate roles so one person is not doing 20+ nappy changes in a row (fatigue management). • Adjustable Height: If budget permits, use electric height-adjustable change tables.</t>
  </si>
  <si>
    <t>F23-C</t>
  </si>
  <si>
    <t>Food Safety (Fridge Failure)</t>
  </si>
  <si>
    <t>Food poisoning from spoiled milk/food.</t>
  </si>
  <si>
    <t>Monitoring: Fridge thermometers checked; if power is off &gt;4 hours, perishable food is discarded. Policy: "Do not open fridge door" policy during outage to conserve cold air.</t>
  </si>
  <si>
    <t>School Cook</t>
  </si>
  <si>
    <t>F25-C</t>
  </si>
  <si>
    <t>Lift / Elevator Entry</t>
  </si>
  <si>
    <t>Separation: Child runs into lift, doors close, separating them from parent. Crush Injury: Sensors fail to detect small child.</t>
  </si>
  <si>
    <t>• Keypad/Fob required to activate lift buttons and pin button in the lift.</t>
  </si>
  <si>
    <t>F26-B</t>
  </si>
  <si>
    <t>F26</t>
  </si>
  <si>
    <t>School Event Messy Stay &amp; Play (Event) (National Reg. 77, 90, 103, 105, 123 &amp; 168)</t>
  </si>
  <si>
    <t>3/12/2025</t>
  </si>
  <si>
    <t>Child slipping on rice or swalling resources.</t>
  </si>
  <si>
    <t>Slip hazard and Toxic Material</t>
  </si>
  <si>
    <t>We will ensure that floor surface are kept clean. All resouces used are non-toxic</t>
  </si>
  <si>
    <t>F40-D</t>
  </si>
  <si>
    <t>Porous wood harboring mold, bacteria (Salmonella), or spiders.</t>
  </si>
  <si>
    <t>Sanitize: Daily visual check for pests/mold. Clean with damp cloth and dry in sun. Do not use for "wet" messy play.</t>
  </si>
  <si>
    <t>P04-E</t>
  </si>
  <si>
    <t>Communication &amp; Accountability Failure (Process Failure)</t>
  </si>
  <si>
    <t>(Process Failure) Failure to call 000, alert parents, or account for all children (lost child).</t>
  </si>
  <si>
    <t>• Grab Bag: Emergency bag contains hard copy rolls &amp; parent contacts. • Redundancy: Battery-operated radio and charged mobile phone available. • Roll Call: Immediate physical head count at assembly point.</t>
  </si>
  <si>
    <t>P12-B</t>
  </si>
  <si>
    <t>Potential for Children get burnt by coffee at cafe - Busy cafe</t>
  </si>
  <si>
    <t>- Child being hurt by spilled coffee on their body parts</t>
  </si>
  <si>
    <t>Keep children in the back play area and sitting doen</t>
  </si>
  <si>
    <t>Natatasha Sonney</t>
  </si>
  <si>
    <t>P19-B</t>
  </si>
  <si>
    <t>P24-D</t>
  </si>
  <si>
    <t>P48-D</t>
  </si>
  <si>
    <t>P56-A</t>
  </si>
  <si>
    <t>P56</t>
  </si>
  <si>
    <t>We are using aluminum foil in the Nursery - New or Current Educational Resources/Experience</t>
  </si>
  <si>
    <t>P1 - Perth School</t>
  </si>
  <si>
    <t>30/07/2026</t>
  </si>
  <si>
    <t>Using Aluminium Foil as a resource</t>
  </si>
  <si>
    <t>Foil could tear/break into smaller pieces and cut skin or be ingested</t>
  </si>
  <si>
    <t>Consider how foil is presented to children (e.g tape down edges) and closely supervise children using the resource</t>
  </si>
  <si>
    <t>Mette Jensen and Lilly Vecki</t>
  </si>
  <si>
    <t>P56-B</t>
  </si>
  <si>
    <t>Same as previous</t>
  </si>
  <si>
    <t>same as previous</t>
  </si>
  <si>
    <t>Mette Jensen and Lily Vecki</t>
  </si>
  <si>
    <t>F04-A</t>
  </si>
  <si>
    <t>F04</t>
  </si>
  <si>
    <t>Community Walk with Nursery (National Reg 100, 101, 102, 102AAB, 168)</t>
  </si>
  <si>
    <t>Community Walk in Prams</t>
  </si>
  <si>
    <t>-injury to children due to vehicle accident causing possible damage to prams</t>
  </si>
  <si>
    <t>Prams will stick to footpaths and take appropriate safety measures when crossing the road.</t>
  </si>
  <si>
    <t>Ashlee Jarvis and other studio education</t>
  </si>
  <si>
    <t>F35-E</t>
  </si>
  <si>
    <t>F35</t>
  </si>
  <si>
    <t>Trades person Activity at School (Indoor or Outdoors) (National Reg 103, 168, 115)</t>
  </si>
  <si>
    <t>Trades person Activity at School</t>
  </si>
  <si>
    <t>Electrical Works undertaken indoor or outdoor in the service</t>
  </si>
  <si>
    <t>Energy systems; Facilities, building environment and equipment</t>
  </si>
  <si>
    <t>Child or Staff being exposed to high voltage electric charge</t>
  </si>
  <si>
    <t>Work to be undertaken by Registered Electrican, Power to isolated and Staff / Children are not be in the areras. After works are completed area to be inspected by Supervisor</t>
  </si>
  <si>
    <t>Person Assigned to Supervisor the Trades Person</t>
  </si>
  <si>
    <t>P07-A</t>
  </si>
  <si>
    <t>P07</t>
  </si>
  <si>
    <t>Community Walk (Nursery) (National Reg 100, 101, 102)</t>
  </si>
  <si>
    <t>7/03/2025</t>
  </si>
  <si>
    <t>Community Walk in prams</t>
  </si>
  <si>
    <t>Yasmin Austen and other studio educators (Mira, Jenny, Mette)</t>
  </si>
  <si>
    <t>P30-A</t>
  </si>
  <si>
    <t>P30</t>
  </si>
  <si>
    <t>Project which explores the material of Cellophane Resources/Experience (National Reg 98 &amp; 101, 168)</t>
  </si>
  <si>
    <t>26/08/2025</t>
  </si>
  <si>
    <t>Exploring and investigating with Cellophane</t>
  </si>
  <si>
    <t>Cellophane poses a risk of choking, particularly to little children. Suffocation may result from a piece of cellophane getting stuck in the neck and blocking the airway.</t>
  </si>
  <si>
    <t>Educator supervision and engagement</t>
  </si>
  <si>
    <t>P42-E</t>
  </si>
  <si>
    <t>P42</t>
  </si>
  <si>
    <t>P46-B</t>
  </si>
  <si>
    <t>P46</t>
  </si>
  <si>
    <t>Walking Accross from through park from Cheriton to Summers Houise Building (National Reg 100 &amp; 101)</t>
  </si>
  <si>
    <t>3/11/2025</t>
  </si>
  <si>
    <t>Unable to use Cheriton Play Space, using Norwood park for travel between schools</t>
  </si>
  <si>
    <t>- Park contains dangerous items, child becomes unaccounted for.</t>
  </si>
  <si>
    <t>Checking the park before children arrive, checking cameras before departure, calling extra staff for support,</t>
  </si>
  <si>
    <t>F10-C</t>
  </si>
  <si>
    <t>F10</t>
  </si>
  <si>
    <t>Fremantle : Delivery of Children to, and Collection From Education and Care Service Premises (National Reg 99, 158, 165A, 168(2)f),</t>
  </si>
  <si>
    <t>13/11/2025</t>
  </si>
  <si>
    <t>Delayed collection or abandonment of child</t>
  </si>
  <si>
    <t>Emotional distress and anxiety Injury from unsupervised activity while waiting Hypothermia or heat stress if left outside in poor weather</t>
  </si>
  <si>
    <t>ts informed of closing time and penalties for late collection. Two educators remain on site until child is collected. Emergency contacts are called if parents cannot be reached by 6:00pm. In extreme cases, police or Child Protection Services contacted</t>
  </si>
  <si>
    <t>Responsible Person</t>
  </si>
  <si>
    <t>F39-C</t>
  </si>
  <si>
    <t>Hygiene / Water-borne illness</t>
  </si>
  <si>
    <t>Gastro, infection transmission.</t>
  </si>
  <si>
    <t>• Use fresh, potable water for every session. • Ensure children do not drink the sensory water. • Children with open sores/wounds excluded from communal water play. v</t>
  </si>
  <si>
    <t>P06-A</t>
  </si>
  <si>
    <t>P06</t>
  </si>
  <si>
    <t>Community Breakfast Event - Sunday 13th April 9-10:30am. (National Reg 115)</t>
  </si>
  <si>
    <t>11/04/2025</t>
  </si>
  <si>
    <t>Slips, trips and falls.</t>
  </si>
  <si>
    <t>* Injury or accident</t>
  </si>
  <si>
    <t>Parents are responsible for safety, making sure if we have any spills correct procedures are followed for injurys.</t>
  </si>
  <si>
    <t>P31-A</t>
  </si>
  <si>
    <t>P31</t>
  </si>
  <si>
    <t>Putting children to Sleep and making sure they are Safe when Sleeping Nursery. (National Reg 84, 165)</t>
  </si>
  <si>
    <t>P1 - N1 Nursery Cot Room</t>
  </si>
  <si>
    <t>6/02/2025</t>
  </si>
  <si>
    <t>Putting children to sleep safely, and keep sleep time safe.</t>
  </si>
  <si>
    <t>If the environment becomes dangerous, e.g. children are too hot, there are loose sheets, or broken cots children's safety can become endangered.</t>
  </si>
  <si>
    <t>The room is regularly checked for safety, and sleep checks are carried out every 10 minutes. We complete a physical risk assessment of the cots, mattresses and sheets each morning when making up the cots, anything broken/damaged is reported to maintenance ASAP.</t>
  </si>
  <si>
    <t>Mira Kelsey</t>
  </si>
  <si>
    <t>P32-C</t>
  </si>
  <si>
    <t>P32</t>
  </si>
  <si>
    <t>Risk Management Plan: Delivery &amp; Collection of Children, Serious Incident Prevention and Mandatory Reporting Protocols (National Reg. 12, 87, 99, 102AAB, 103, 115, 158, and 176, and National Law Sections 165A &amp; 167)</t>
  </si>
  <si>
    <t>1/05/2025</t>
  </si>
  <si>
    <t>Parents informed of closing time and penalties for late collection. Two educators remain on site until child is collected. Emergency contacts are called if parents cannot be reached by 6:00pm. In extreme cases, police or Child Protection Services contacted</t>
  </si>
  <si>
    <t>Responsible Person in charge</t>
  </si>
  <si>
    <t>P32-D</t>
  </si>
  <si>
    <t>Safety concerns during walk from Summers House to Cheriton House (before 7:30am)</t>
  </si>
  <si>
    <t>Physical confrontation causing harm Emotional trauma to child Risk of abduction or unsafe removal</t>
  </si>
  <si>
    <t>Children arriving before 7:30am are signed in at Summers House. At 7:30am, children are escorted by an educator to Cheriton House. A headcount is conducted before departure and upon arrival. Supervision is maintained at all times during the walk.</t>
  </si>
  <si>
    <t>P47-C</t>
  </si>
  <si>
    <t>P20-B</t>
  </si>
  <si>
    <t>Pallet play</t>
  </si>
  <si>
    <t>Fall off the side of the pallet</t>
  </si>
  <si>
    <t>We will place foam mats under the set up</t>
  </si>
  <si>
    <t>P21-B</t>
  </si>
  <si>
    <t>F05-A</t>
  </si>
  <si>
    <t>F05</t>
  </si>
  <si>
    <t>Cyber Safety, Privacy &amp; Digital Documentation - National Regulation 181 (Confidentiality), Reg 168(2)(l) (Privacy), Reg 195 (Records)</t>
  </si>
  <si>
    <t>Unauthorised Photos / Social Media</t>
  </si>
  <si>
    <t>Breach of privacy; safety risk for children under court orders.</t>
  </si>
  <si>
    <t>Device Policy: Personal phones banned in children's rooms/nappy areas. Only service iPads used for photos. • Permission Audit: Check enrolment forms for "Photo Permission" before posting to App/Socials. • Background Check: Ensure no other children are visible in the background of photos sent to specific parents (unless group permission exists)</t>
  </si>
  <si>
    <t>F10-A</t>
  </si>
  <si>
    <t>Unauthorised Collection of a Child</t>
  </si>
  <si>
    <t>Emotional trauma or distress Physical harm, Injury</t>
  </si>
  <si>
    <t>the Hazard: (A) Release of children only to persons listed as authorised on the enrolment form. Staff verify identity using photo ID before releasing a child. Staff are trained to follow refusal of authorisation procedures. Any changes to authorised contacts must be in writing and confirmed</t>
  </si>
  <si>
    <t>F29-C</t>
  </si>
  <si>
    <t>Potential for hail hitting child or staff</t>
  </si>
  <si>
    <t>Hail hitting child and/or staff member</t>
  </si>
  <si>
    <t>F40-B</t>
  </si>
  <si>
    <t>Physical / Sharp</t>
  </si>
  <si>
    <t>Splinters, protruding rusty nails, "wood-rot" instability.</t>
  </si>
  <si>
    <t>Refurbish: Remove all nails/staples. Sand to a "furniture grade" finish. Seal with non-toxic varnish or food- grade oil.</t>
  </si>
  <si>
    <t>P09-A</t>
  </si>
  <si>
    <t>P09</t>
  </si>
  <si>
    <t>P11-A</t>
  </si>
  <si>
    <t>Walking</t>
  </si>
  <si>
    <t>Children may trip</t>
  </si>
  <si>
    <t>Walk slowly and together</t>
  </si>
  <si>
    <t>P17-A</t>
  </si>
  <si>
    <t>P17</t>
  </si>
  <si>
    <t>Homemade life size Christmas tree painting experience (National Reg 93 &amp; 168)</t>
  </si>
  <si>
    <t>12/12/2025</t>
  </si>
  <si>
    <t>Homemade life size Christmas tree painting experience</t>
  </si>
  <si>
    <t>Being life size their is a chance it may fall over onto someone, however due to the lightweight materials the consequences are believed to be minor</t>
  </si>
  <si>
    <t>The tree experience is closely supervised and reinforced with tape, and zip ties and supportive chairs and wire spindle base</t>
  </si>
  <si>
    <t>Erin Jackson Vis</t>
  </si>
  <si>
    <t>P32-A</t>
  </si>
  <si>
    <t>Release of children only to persons listed as authorised on the enrolment form. Staff verify identity using photo ID before releasing a child. Staff are trained to follow refusal of authorisation procedures. Any changes to authorised contacts must be in writing and confirmed</t>
  </si>
  <si>
    <t>P35-A</t>
  </si>
  <si>
    <t>Play dough table</t>
  </si>
  <si>
    <t>Children could eat play dough, scratch themselves on play dough cutters, hit each other with rolling pins.</t>
  </si>
  <si>
    <t>Staff to supervise closely, encourage children and parents to keep playdough resources on table</t>
  </si>
  <si>
    <t>Samantha Mosley</t>
  </si>
  <si>
    <t>P35-B</t>
  </si>
  <si>
    <t>Sensory tray</t>
  </si>
  <si>
    <t>Children could eat the shredded paper or attempt to eat the plastic eggs.</t>
  </si>
  <si>
    <t>Close supervision from staff and parents</t>
  </si>
  <si>
    <t>P48-B</t>
  </si>
  <si>
    <t>P33-B</t>
  </si>
  <si>
    <t>Toddler Studio Sleep - All mattress are placed on the floor of the toddler studio with individual fitted sheet head to toe , all binds are closed , lights are off and sleep music is played. The equipment and furniture is move safe enough away from where the children are sleeping.</t>
  </si>
  <si>
    <t>The units/ equipment ,Blinds, sleep comforters, sheet bags , Awake children or waking children, The sleep and rest needs of children in this studio will need to be individually planned for if there are any risks that pose considering: specific health care needs, cultural preferences, sleep and rest needs of these individual children</t>
  </si>
  <si>
    <t>Educators will be supervising children at all times in the studio and doing physical checks logged on Early Works for children under 2 years. All equipment to be placed the away from the mattresses , Sheet bag to be placed under mattresses Blinds to be regularly checked for safety and logged if broken or damaged.</t>
  </si>
  <si>
    <t>Studio Lead in charge.</t>
  </si>
  <si>
    <t>P34-B</t>
  </si>
  <si>
    <t>Playdough</t>
  </si>
  <si>
    <t>Children eating playdough</t>
  </si>
  <si>
    <t>Activity supervised by educators</t>
  </si>
  <si>
    <t>Shira B</t>
  </si>
  <si>
    <t>P35-D</t>
  </si>
  <si>
    <t>Painting table</t>
  </si>
  <si>
    <t>Children could eat the paint or paint onto their skin and clothes</t>
  </si>
  <si>
    <t>Close supervision and verbally reminding children to only plaint on papers</t>
  </si>
  <si>
    <t>F36-D</t>
  </si>
  <si>
    <t>Coach Accident / Braking (Private or Public Coach)</t>
  </si>
  <si>
    <t>Energy systems; Environmental; Vehicles, machinery and equipment; People</t>
  </si>
  <si>
    <t>Impact injury, whiplash.</t>
  </si>
  <si>
    <t>• Restraints: Coach booked must have seatbelts. Educators verify every child is buckled before driver moves. • Luggage: Heavy bags stored in under-bus storage, not in overhead racks (fall hazard). • Seating Plan: Educators spread throughout the bus (front, middle, back) to monitor behaviour/sickness.</t>
  </si>
  <si>
    <t>F05-B</t>
  </si>
  <si>
    <t>Data Breach / Password Sharing</t>
  </si>
  <si>
    <t>Personal family info (address, custody) leaked.</t>
  </si>
  <si>
    <t>• Access Control: Digital platforms (e.g., Smartcentral, 1Place, Earlyworks) require individual staff logins (no shared passwords). Access revoked immediately upon staff termination. • Physical Records: Paper enrolment forms stored in a locked filing cabinet in the office.</t>
  </si>
  <si>
    <t>Approved Provider</t>
  </si>
  <si>
    <t>Very Low - 2</t>
  </si>
  <si>
    <t>P09-B</t>
  </si>
  <si>
    <t>F17-A</t>
  </si>
  <si>
    <t>Incident occurring as staff, visitor and children are evacuating the service</t>
  </si>
  <si>
    <t>Critical Incident; Energy systems; Facilities, building environment and equipment</t>
  </si>
  <si>
    <t>Staff, Visitors or child could be injured</t>
  </si>
  <si>
    <t>Daily checks of hazards within stairwell and lift. Daily checks to ensure emergency exits are free from hazards and clearly marked. First Aid Kit &amp; Evac. Kits readily accessible when children/staff are evacuating the School. Training and induction of emergency procedures for new and existing staff, including casual staff. Consideration applied for non-mobile children (eg enough and useable mobile evacuation cots are located in sleep rooms). Marshalling adults to assist children to each stair landing for children above Nursery age group. Safety ropes to assist chilren who are mobile. Walkie Talkies or mobile phones used to communicate with all staff during an emergency. Regular head checks conducted at various times of the evacuation. All staff to hold First Aid Certificate. List of who where in the building is accessible for all Children, Visitors and Staff at the time of event . Be in constant communication with emergency services and ensure that children are supervisor by Staff at all times.</t>
  </si>
  <si>
    <t>Lisa McLean (School Director), Bianca Lawlor (Education Leader) or Acting Nominated Supervisor</t>
  </si>
  <si>
    <t>F08-B</t>
  </si>
  <si>
    <t>Fire in Kitchen</t>
  </si>
  <si>
    <t>Critical Incident; Energy systems; Facilities, building environment and equipment; People</t>
  </si>
  <si>
    <t>Fire in Kitchen that could impact the egress of children and staff in School</t>
  </si>
  <si>
    <t>The school has implemented fire safety measures, including a fire deluge system for kitchen fires and multiple evacuation points, such as car park ramps and emergency stairs. The main lift operates as an emergency lift with a 30-minute backup battery. Upon fire alarm activation, gas and electrical services are isolated. Automatic fire doors and sensors are installed, with the system connected directly to the Fire Department for prompt response.</t>
  </si>
  <si>
    <t>F14-B</t>
  </si>
  <si>
    <t>Heat Stress / Poor Ventilation</t>
  </si>
  <si>
    <t>Biological; Environmental; Socio-emotional; People</t>
  </si>
  <si>
    <t>Dehydration, fainting.</t>
  </si>
  <si>
    <t>Ventilation: Lifts maintained to Building Code standards with functional air circulation. Response Time: Service has a Priority Service Agreement with the lift company (usually &lt;1 hour response for trapped passengers). Admin staff to monitor lift CCTV (if installed or available) or stay in voice contact via intercom constantly.</t>
  </si>
  <si>
    <t>F16-A</t>
  </si>
  <si>
    <t>Exposure to Allergen (Nuts in other lunchboxes or craft)</t>
  </si>
  <si>
    <t>Anaphylactic shock, respiratory distress.</t>
  </si>
  <si>
    <t>• Service maintains a "Nut Aware" policy; families informed upon enrollment. • Child’s Medical Management Plan displayed in key areas (privacy respected). • Supervision of meal times: no sharing of food allowed. • Tables and chairs sanitized before and after eating.</t>
  </si>
  <si>
    <t>F36-B</t>
  </si>
  <si>
    <t>Separation boarding bus</t>
  </si>
  <si>
    <t>Critical Incident; Environmental; Vehicles, machinery and equipment; People</t>
  </si>
  <si>
    <t>Child seperated from Education before boardin bus.</t>
  </si>
  <si>
    <t>P15-D</t>
  </si>
  <si>
    <t>Assembly at designated safe point</t>
  </si>
  <si>
    <t>Assembly point too close to hazard; insufficient space; people unaccounted for; premature re-entry</t>
  </si>
  <si>
    <t>F06-A</t>
  </si>
  <si>
    <t>F06</t>
  </si>
  <si>
    <t>Dangerous Animal (eg Dog) / Snake (National Regulation 168)</t>
  </si>
  <si>
    <t>A snake or aggressive dog is spotted in the outdoor play area. (Bite / Envenomation)</t>
  </si>
  <si>
    <t>Biological; Critical Incident; Environmental; Facilities, building environment and equipment; Socio-emotional; People</t>
  </si>
  <si>
    <t>Bite / Envenomation.</t>
  </si>
  <si>
    <t>Procedure: "Snake Drill" (freeze and retreat) practiced with children. Isolation: Outdoor area immediately evacuated; doors closed and towel placed under the gap to prevent animal entering. First Aid: Snake Bite Bandages (pressure immobilization) stocked in all First Aid Kits and clearly marked. Removal: Council Ranger or Professional snake catcher called; staff do not attempt to remove or kill the animal.</t>
  </si>
  <si>
    <t>F06-B</t>
  </si>
  <si>
    <t>A snake or aggressive dog is spotted in the outdoor play area or during an excursion</t>
  </si>
  <si>
    <t>Biological; Critical Incident; Facilities, building environment and equipment; Socio-emotional; People</t>
  </si>
  <si>
    <t>Toxicity, anaphylaxis, tissue damage, fatality.</t>
  </si>
  <si>
    <t>Isolation: Outdoor area immediately evacuated; doors closed and towel placed under the gap to prevent animal entering. Call the police and other Emergency Services. Apply first aid or directed by Emergency Services. Ensure that staff have the school phone to call the emergency services and school.</t>
  </si>
  <si>
    <t>Lead Person on the trip - Studio Leader</t>
  </si>
  <si>
    <t>P10-A</t>
  </si>
  <si>
    <t>P10</t>
  </si>
  <si>
    <t>P10-B</t>
  </si>
  <si>
    <t>P11-B</t>
  </si>
  <si>
    <t>Train Crash</t>
  </si>
  <si>
    <t>Energy systems; Vehicles, machinery and equipment</t>
  </si>
  <si>
    <t>Ensure that children are safe spot on the train sitting at the back carage</t>
  </si>
  <si>
    <t>P46-A</t>
  </si>
  <si>
    <t>Walking through Norwood Park</t>
  </si>
  <si>
    <t>Socio-emotional</t>
  </si>
  <si>
    <t>-Child becomes unaccounted for</t>
  </si>
  <si>
    <t>- Checking cameras and park before departure,Headcounts before and after travel, Close supervision whilst travelling, Double ratio for staff, Staff Member in front and behind group.</t>
  </si>
  <si>
    <t>F08-C</t>
  </si>
  <si>
    <t>Stairwell Congestion / Crush</t>
  </si>
  <si>
    <t>Injury from falling, panic, slow evacuation time.</t>
  </si>
  <si>
    <t>The main lift serves as an emergency lift with a backup battery for 30 minutes to aid evacuation of visitors, children, and staff. Evacuation starts from the ground floor, if safe, to clear exit paths, followed by upper floors. Children are taught to hold the handrail with one hand and an educator's hand with the other. Emergency lighting is installed and tested monthly in stairwells, which must remain free of storage or clutter at all times.</t>
  </si>
  <si>
    <t>F27-A</t>
  </si>
  <si>
    <t>Staff-Child Ratios not being met</t>
  </si>
  <si>
    <t>- Child becomes unaccounted for or/and hurt</t>
  </si>
  <si>
    <t>Ensuring staff:child ratios are maintained at all times.</t>
  </si>
  <si>
    <t>P37-A</t>
  </si>
  <si>
    <t>F14-A</t>
  </si>
  <si>
    <t>group of children and an educator are stuck in the lift between floors due to mechanical failure</t>
  </si>
  <si>
    <t>Traumatisation of children, hyperventilation.</t>
  </si>
  <si>
    <t>• Communication: Emergency phone inside lift testedbi-annually. Staff trained to remain calm, sit children down, and engage in singing/storytelling while waiting for help. During all excursion their is Emergency Bag" kept inside the lift (contains water, tissues, small distracting toys/books, torch).</t>
  </si>
  <si>
    <t>Studio Lead or Educator</t>
  </si>
  <si>
    <t>F35-B</t>
  </si>
  <si>
    <t>Object falling on children from above as worker person using tools or cleaning a areas</t>
  </si>
  <si>
    <t>Environmental; Manual Handling; People</t>
  </si>
  <si>
    <t>Tools, parts, or Dust falling on Child</t>
  </si>
  <si>
    <t>Work area to be isolated from children or barricaded</t>
  </si>
  <si>
    <t>Person Supervising the Trades Person</t>
  </si>
  <si>
    <t>F35-C</t>
  </si>
  <si>
    <t>Dust being spray in child eyet and bits of material falling on the floor and consumed by child or</t>
  </si>
  <si>
    <t>Dust in child eye or mouth, Bits of Material being consumed by child could be toxic</t>
  </si>
  <si>
    <t>Children to be isolated from Work Area. Tradesperson to clean ASAP with his cleaning tool or provided cleaning tools from the school. The area to be inspected by staff member to ensure that it safe for children.</t>
  </si>
  <si>
    <t>Staff Member Person Supervision the work</t>
  </si>
  <si>
    <t>P42-B</t>
  </si>
  <si>
    <t>P42-C</t>
  </si>
  <si>
    <t>F35-D</t>
  </si>
  <si>
    <t>Landscape and Playscape Maintanence work undertaken outside.</t>
  </si>
  <si>
    <t>Biological; Chemical; Environmental; Facilities, building environment and equipment; People</t>
  </si>
  <si>
    <t>Children could get hurt as result of Landscape and Playscape Maintanence work undertaken outside. Due to area not be isolated.</t>
  </si>
  <si>
    <t>Ensure that area isolate from children by placing children far away or restrict them to indoor play during the activity</t>
  </si>
  <si>
    <t>Person Assigned to Supervise the Tradesperson and Communicated to Studio Leads</t>
  </si>
  <si>
    <t>P42-D</t>
  </si>
  <si>
    <t>F10-D</t>
  </si>
  <si>
    <t>Arriving children are escorted by an adult in the elevator. A headcount is conducted before splitting into studios.</t>
  </si>
  <si>
    <t>Visitors entering unauthorised or posing a health/safety risk</t>
  </si>
  <si>
    <t>All visitors sign in and out of the premises. Entry restricted to approved and pre-arranged visitor</t>
  </si>
  <si>
    <t>Studio Leader</t>
  </si>
  <si>
    <t>F17-B</t>
  </si>
  <si>
    <t>Stuck or trapped in lift</t>
  </si>
  <si>
    <t>Staff and/or children feeling anxious and stressed, suffer PTSD or depression</t>
  </si>
  <si>
    <t>Call the lift emergency phone for support or get access to mobile phone to call the lift emergency number or the Akidamy reception or emergency services. Be in constant communication with emergency services and ensure that children are supervised by Staff at all times and kept calm.Lift runs on own power source so evacuations are possible. Referral to Services to support and mental health concerns created from this experience.</t>
  </si>
  <si>
    <t>Person in the lift. The Nominated Supervisor or Most Senior Person Stuck in the Situation</t>
  </si>
  <si>
    <t>P33-C</t>
  </si>
  <si>
    <t>K3 Sleep and Rest time- All mattress are placed on the floor of the K3 studio with individual fitted sheets on and beds are placed head to toe, the blinds are pulled down, lights are turned off and sleep music is played through a speaker. To ensure the space is safe and there is enough room for the sleeping children equipment and furniture is moved safely away from the children's bed</t>
  </si>
  <si>
    <t>Sleep bags, Blinds, Furniture , sleep comforters (blankets/ large toys) The sleep and rest needs of children in this studio will need to be individually planned for if there are any risks that pose considering: specific health care needs, cultural preferences, sleep and rest needs of these individual children.</t>
  </si>
  <si>
    <t>Sleep bags - All sleep bags will be placed underneath children's mattress. Children are encouraged to find there beds by searching for their photo on the sleep bags, when they find their beds they are asked to put the bags underneath their beds. An educator will check this when children are on their beds. Blinds - All blinds are closed by an educator and are checked to ensure they are safe. Furniture- All furniture is risk assed to ensure it is safe for the studio. Whilst children sleep the furniture is moved away from their beds to minimize any risk of toys falling on beds. sleep comforters (blankets/ large toys) - If children have sleep comforters, they are allowed to have them for sleep time, if the children have blankets educators will ensure the children do not have them on or wrapped over their face/head. When children are monitored during their sleep time educators will check this.</t>
  </si>
  <si>
    <t>Studio Lead of the K3 Studio.</t>
  </si>
  <si>
    <t>P32-E</t>
  </si>
  <si>
    <t>Risk of child being harmed by unsafe or unknown person Spread of infection from external visitors Injury if unauthorised person brings unsafe items onto premises</t>
  </si>
  <si>
    <t>All visitors sign in and out of the premises. Entry restricted to approved and pre-arranged visitors.</t>
  </si>
  <si>
    <t>F10-B</t>
  </si>
  <si>
    <t>Child left unattended or unaccounted for during arrival/departure</t>
  </si>
  <si>
    <t>Trips or falls while unsupervised Injury from accessing unsafe areas Emotional distress from being left behin</t>
  </si>
  <si>
    <t>All children must be sighted by an educator upon arrival. Sign-in and sign-out registers are strictly monitored. Staff complete end-of-day room and premises checks to ensure all children are accounted for. Educator-to-child ratios are maintained at all times.</t>
  </si>
  <si>
    <t>P32-B</t>
  </si>
  <si>
    <t>Trips or falls while unsupervised Injury from accessing unsafe areas Emotional distress from being left behind</t>
  </si>
  <si>
    <t>Responsible Person assigned</t>
  </si>
  <si>
    <t>P33-D</t>
  </si>
  <si>
    <t>K4 Sleep and Rest time - All mattress are placed on the floor of the K4 studio with individual fitted sheets and beds are placed head to toe to reduce the spread of germs, the blinds are pulled down, lights are turned off and sleep music is played through a speaker. To ensure the space is safe and there is enough room for the sleeping children equipment and furniture is moved safely away from the children's beds.</t>
  </si>
  <si>
    <t>Sleep bags Blinds Furniture sleep comforters (blankets/ large toys) - The sleep and rest needs of children in this studio will need to be individually planned for if there are any risks that pose considering: specific health care needs, cultural preferences, sleep and rest needs of these individual children</t>
  </si>
  <si>
    <t>Sleep bags - All sheet bags will be removed from the bed and placed out of reach . Children are encouraged to find there beds by searching for their photo on the sleep bags, when they find their beds they are asked to put the bags out of reach of their beds. An educator will check this when children are on their beds. Pillow- only provided to children over 24 months and are used to support the Childs head during rest time. Blinds - All blinds are closed by an educator and are risk assessed to ensure they are in safe working order. Furniture- A physical risk assessment of furniture and resources will be undertaken daily ensure it is safe for the studio, anything broken will be removed and reported ASAP. Whilst children sleep, the beds are spaced out around the studio to minimize any risk of toys falling on beds. sleep comforters (blankets/ large toys) - If children have sleep comforters they are allowed to have them for sleep time, if the children have blankets educators will ensure the children do not have them on or wrapped over their face/head. When children are monitored during their sleep time educators will check this. any inappropriate clothes will be removed such as hoodies, necklaces and bulky jumpers.</t>
  </si>
  <si>
    <t>Studio Lead of the K4</t>
  </si>
  <si>
    <t>P13-B</t>
  </si>
  <si>
    <t>Social/ emotional</t>
  </si>
  <si>
    <t>- Difficulty settling the child</t>
  </si>
  <si>
    <t>Ensure staff are positive around children and offering gentle reassurance if child becomes distressed.</t>
  </si>
  <si>
    <t>Responsible person on excursion</t>
  </si>
  <si>
    <t>P26-B</t>
  </si>
  <si>
    <t>F21-A</t>
  </si>
  <si>
    <t>Ingestion of Chemicals</t>
  </si>
  <si>
    <t>Chemical; People</t>
  </si>
  <si>
    <t>Poisoning, internal burns.</t>
  </si>
  <si>
    <t>• All chemicals stored in a locked cupboard higher than 1.5m or with a child-proof lock. • Chemicals remain in original containers with clear labels. • SDS: Safety Data Sheets (SDS) for every chemical are printed and available in the chemical storage area. • Poisons Information Centre number (13 11 26) displayed next to the phone.</t>
  </si>
  <si>
    <t>Very Low - 1</t>
  </si>
  <si>
    <t>P27-A</t>
  </si>
  <si>
    <t>F04-B</t>
  </si>
  <si>
    <t>Biological; Energy systems; People</t>
  </si>
  <si>
    <t>• Check UV index before departure. • Apply sunscreen 20 mins before leaving and reapply every 2 hours. • Hats required for all children and staff. • Excursion timed to avoid peak UV times (11 am – 3 pm) if possible. • Water bottles packed for every child. Keep walks short as children can get restless.</t>
  </si>
  <si>
    <t>F29-B</t>
  </si>
  <si>
    <t>Glass Breakage</t>
  </si>
  <si>
    <t>Cuts, lacerations from windows.</t>
  </si>
  <si>
    <t>Safe Zones: During severe hail/wind, move children to the internal side of the room away from windows. Glazing: All low-level glass is safety grade (AS 1288) or fitted with safety film.</t>
  </si>
  <si>
    <t>F26-A</t>
  </si>
  <si>
    <t>Messay Play</t>
  </si>
  <si>
    <t>Child could chock, Emergency Event</t>
  </si>
  <si>
    <t>Supervisor child, Resources are child safe, Ensure evacuation Proceedures are known and communicated</t>
  </si>
  <si>
    <t>Kim-Marie Grant</t>
  </si>
  <si>
    <t>F29-A</t>
  </si>
  <si>
    <t>Falling Tree Branches / Debris</t>
  </si>
  <si>
    <t>Head injury, impact trauma.</t>
  </si>
  <si>
    <t>Pre-emptive Action: Playspace checks conducted daily; "Lockout" procedure initiated immediately if wind gusts exceed safe levels (e.g., &gt;100km/h). Maintenance: Annual garden assessment of all overhanging trees. New School Trees are very small.</t>
  </si>
  <si>
    <t>P11-D</t>
  </si>
  <si>
    <t>Animal eating children at Zoo</t>
  </si>
  <si>
    <t>Kangaroo biting child</t>
  </si>
  <si>
    <t>Keep children behind glass barrier</t>
  </si>
  <si>
    <t>F18-A</t>
  </si>
  <si>
    <t>Garden lights</t>
  </si>
  <si>
    <t>The garden lights are connect with a power plug</t>
  </si>
  <si>
    <t>Closely supervision and only educators to turn on the lights.</t>
  </si>
  <si>
    <t>P02-A</t>
  </si>
  <si>
    <t>F35-A</t>
  </si>
  <si>
    <t>Tradeperson using a phone and taking photo's of Children or Staff.</t>
  </si>
  <si>
    <t>Tradesperson is not supposed use their phone unless in a isolated area away from children and supervised at all time. This must be an extreme case like IT store which require communication external parties</t>
  </si>
  <si>
    <t>Trade person to be supervised and photo during his period of engagement at the Service will be expected. Default is for all Phones to Placed in reception at all times unless special permission is provide by the SOAPE.</t>
  </si>
  <si>
    <t>School Director or Education Leader</t>
  </si>
  <si>
    <t>P42-A</t>
  </si>
  <si>
    <t>F18-B</t>
  </si>
  <si>
    <t>Plastic pipes and Cardboard tubes</t>
  </si>
  <si>
    <t>Hand/arm stuck in tube</t>
  </si>
  <si>
    <t>Supervison</t>
  </si>
  <si>
    <t>F20-B</t>
  </si>
  <si>
    <t>-</t>
  </si>
  <si>
    <t>F34-B</t>
  </si>
  <si>
    <t>None</t>
  </si>
  <si>
    <t>Na</t>
  </si>
  <si>
    <t>P01-B</t>
  </si>
  <si>
    <t>P02-B</t>
  </si>
  <si>
    <t>P06-B</t>
  </si>
  <si>
    <t>N/A</t>
  </si>
  <si>
    <t>P07-B</t>
  </si>
  <si>
    <t>NA</t>
  </si>
  <si>
    <t>Biological; Environmental</t>
  </si>
  <si>
    <t>P08-B</t>
  </si>
  <si>
    <t>na</t>
  </si>
  <si>
    <t>P14-B</t>
  </si>
  <si>
    <t>P17-B</t>
  </si>
  <si>
    <t>P30-B</t>
  </si>
  <si>
    <t>P31-B</t>
  </si>
  <si>
    <t>N/a</t>
  </si>
  <si>
    <t>LJ</t>
  </si>
  <si>
    <t>P40-B</t>
  </si>
  <si>
    <t>n/a</t>
  </si>
  <si>
    <t>P44-B</t>
  </si>
  <si>
    <t>P49-B</t>
  </si>
  <si>
    <t>P50-B</t>
  </si>
  <si>
    <t>P51-B</t>
  </si>
  <si>
    <t>P52-B</t>
  </si>
  <si>
    <t>P53-B</t>
  </si>
  <si>
    <t>P54-B</t>
  </si>
  <si>
    <t>P55-B</t>
  </si>
  <si>
    <t>P57-B</t>
  </si>
  <si>
    <t>Top 10 Risks - Overall (Perth &amp; Fremantle) - ranked by residual score (with mitigations)</t>
  </si>
  <si>
    <t>Live: updates automatically when Consequence/Likelihood scores or School change in the Risk Register. Ties are ordered by inherent score, then register order.</t>
  </si>
  <si>
    <t>Rank</t>
  </si>
  <si>
    <t>key</t>
  </si>
  <si>
    <t>row</t>
  </si>
  <si>
    <t>Risk Assessment</t>
  </si>
  <si>
    <t>Hazard description</t>
  </si>
  <si>
    <t>Inherent
C</t>
  </si>
  <si>
    <t>Inherent
L</t>
  </si>
  <si>
    <t>Residual
C</t>
  </si>
  <si>
    <t>Residual
L</t>
  </si>
  <si>
    <t>Charts</t>
  </si>
  <si>
    <t>Risk matrix - where the Top 10 sit</t>
  </si>
  <si>
    <t>WITHOUT mitigation (inherent)</t>
  </si>
  <si>
    <t>Likelihood ↓ / Consequence →</t>
  </si>
  <si>
    <t>WITH mitigation (residual)</t>
  </si>
  <si>
    <t>Colour = rating of that cell from the 5x5 matrix (Scales &amp; Matrix). IDs show which Top 10 risks sit in each cell.</t>
  </si>
  <si>
    <t>Top 10 Risks - Perth - ranked by residual score (with mitigations)</t>
  </si>
  <si>
    <t>Top 10 Risks - Fremantle - ranked by residual score (with mitigations)</t>
  </si>
  <si>
    <t>Risk Aggregation by Risk Assessment Template - Inherent, Residual and Change</t>
  </si>
  <si>
    <t>Sunburst image: inner ring = template, middle ring = form, outer ring = hazard. It is a static picture of the data at the time of build - the table below it is live and recalculates from the Risk Register.</t>
  </si>
  <si>
    <t>Live summary by template</t>
  </si>
  <si>
    <t>Both schools</t>
  </si>
  <si>
    <t>Key</t>
  </si>
  <si>
    <t>Template</t>
  </si>
  <si>
    <t>Forms</t>
  </si>
  <si>
    <t>Hazards</t>
  </si>
  <si>
    <t>Avg inherent score</t>
  </si>
  <si>
    <t>Avg residual score</t>
  </si>
  <si>
    <t>Avg score reduction</t>
  </si>
  <si>
    <t>Max residual score</t>
  </si>
  <si>
    <t>High / Critical residual hazards</t>
  </si>
  <si>
    <t>F</t>
  </si>
  <si>
    <t>G</t>
  </si>
  <si>
    <t>Total</t>
  </si>
  <si>
    <t>Perth</t>
  </si>
  <si>
    <t>Fremantle</t>
  </si>
  <si>
    <t>Averages shaded: 10+ orange, 5-9.9 yellow, under 5 green (indicative only - ratings for individual hazards come from the 5x5 matrix). Includes placeholder hazards scored 1x1.</t>
  </si>
  <si>
    <t>Summary by Risk Assessment - Perth &amp; Fremantle - ranked by highest residual score</t>
  </si>
  <si>
    <t>Highest scores are calculated live from the Risk Register. "Form stated highest" is what the assessor entered in the HIGHEST RISK SCORE field of the PDF. School (light green) is editable.</t>
  </si>
  <si>
    <t>No. of hazards</t>
  </si>
  <si>
    <t>Highest inherent score</t>
  </si>
  <si>
    <t>Highest residual score</t>
  </si>
  <si>
    <t>Highest residual rating</t>
  </si>
  <si>
    <t>Form stated highest (as recorded)</t>
  </si>
  <si>
    <t>Stated vs calculated</t>
  </si>
  <si>
    <t>Approval status</t>
  </si>
  <si>
    <t>Approved by</t>
  </si>
  <si>
    <t>Approval date</t>
  </si>
  <si>
    <t>Review (as recorded)</t>
  </si>
  <si>
    <t>Approved</t>
  </si>
  <si>
    <t>Review in 12mth Dec 2026</t>
  </si>
  <si>
    <t>Annual review Dec 2026</t>
  </si>
  <si>
    <t>1/12/2025</t>
  </si>
  <si>
    <t>Review evey 12 months (Dec2026)</t>
  </si>
  <si>
    <t>Annually</t>
  </si>
  <si>
    <t>Jan 2027</t>
  </si>
  <si>
    <t>Dec 2026 (Annually)</t>
  </si>
  <si>
    <t>Hannah Sutherland-Smith</t>
  </si>
  <si>
    <t>Nina Majewski</t>
  </si>
  <si>
    <t>3 months</t>
  </si>
  <si>
    <t>Every 12 Months Dec2026</t>
  </si>
  <si>
    <t>Michel Sebbag</t>
  </si>
  <si>
    <t>1/04/2025</t>
  </si>
  <si>
    <t>Every year 2026 April</t>
  </si>
  <si>
    <t>Dec 2026</t>
  </si>
  <si>
    <t>04/04/2026</t>
  </si>
  <si>
    <t>7/04/2025</t>
  </si>
  <si>
    <t>Every 6 months June of each year</t>
  </si>
  <si>
    <t>Katelyn Mani</t>
  </si>
  <si>
    <t>6/11/26</t>
  </si>
  <si>
    <t>Bianca Lawlor</t>
  </si>
  <si>
    <t>Every 12 months April 2026</t>
  </si>
  <si>
    <t>Yes</t>
  </si>
  <si>
    <t>in 12 month Dec 2026 or Prior to an Event</t>
  </si>
  <si>
    <t>26.3.2026</t>
  </si>
  <si>
    <t>Lisa McLean</t>
  </si>
  <si>
    <t>Lisa Mclean</t>
  </si>
  <si>
    <t>4/11/2026</t>
  </si>
  <si>
    <t>Annual in Dec 2026</t>
  </si>
  <si>
    <t>12 months Dec 2026</t>
  </si>
  <si>
    <t>every 12 Months Jan 2027</t>
  </si>
  <si>
    <t>Every 12 months Dec 2026</t>
  </si>
  <si>
    <t>July 2025</t>
  </si>
  <si>
    <t>25/06/2027</t>
  </si>
  <si>
    <t>May 2027</t>
  </si>
  <si>
    <t>Every 12 months</t>
  </si>
  <si>
    <t>Evey 12 months April 2026</t>
  </si>
  <si>
    <t>Not Approved</t>
  </si>
  <si>
    <t>Every 2 years</t>
  </si>
  <si>
    <t>21/03/2025</t>
  </si>
  <si>
    <t>Never uinless we plan to undertake this. This will only take place unless approved by Approved Provider</t>
  </si>
  <si>
    <t>17/02/2035</t>
  </si>
  <si>
    <t>October 2027</t>
  </si>
  <si>
    <t>May 2026</t>
  </si>
  <si>
    <t>26/06/2027</t>
  </si>
  <si>
    <t>15/06/27</t>
  </si>
  <si>
    <t>15/6/26</t>
  </si>
  <si>
    <t>21/02/2026</t>
  </si>
  <si>
    <t>28/11/2024</t>
  </si>
  <si>
    <t>1/09/2025</t>
  </si>
  <si>
    <t>Annually Dec 2026</t>
  </si>
  <si>
    <t>2027</t>
  </si>
  <si>
    <t>Yearly</t>
  </si>
  <si>
    <t>17/11/2024</t>
  </si>
  <si>
    <t>September 2026</t>
  </si>
  <si>
    <t>in 12 months</t>
  </si>
  <si>
    <t>After the event on the Tuesday</t>
  </si>
  <si>
    <t>2/11/2025</t>
  </si>
  <si>
    <t>Nov 2026</t>
  </si>
  <si>
    <t>2026</t>
  </si>
  <si>
    <t>2028</t>
  </si>
  <si>
    <t>When N2 opens or 06 Feb 2026 latest.</t>
  </si>
  <si>
    <t>13/01/2025</t>
  </si>
  <si>
    <t>Annual</t>
  </si>
  <si>
    <t>Every 12mth Dec 2026</t>
  </si>
  <si>
    <t>Perth vs Fremantle - hazard counts by rating</t>
  </si>
  <si>
    <t>All values are live formulas from the Risk Register.</t>
  </si>
  <si>
    <t>INHERENT (without mitigation)</t>
  </si>
  <si>
    <t>Rating</t>
  </si>
  <si>
    <t>Perth %</t>
  </si>
  <si>
    <t>Fremantle %</t>
  </si>
  <si>
    <t>Critical</t>
  </si>
  <si>
    <t>High</t>
  </si>
  <si>
    <t>Moderate</t>
  </si>
  <si>
    <t>Low</t>
  </si>
  <si>
    <t>Very Low</t>
  </si>
  <si>
    <t>RESIDUAL (with mitigation)</t>
  </si>
  <si>
    <t>Key statistics</t>
  </si>
  <si>
    <t>Measure</t>
  </si>
  <si>
    <t>Risk assessment forms</t>
  </si>
  <si>
    <t>Hazards assessed</t>
  </si>
  <si>
    <t>Average inherent score</t>
  </si>
  <si>
    <t>Average residual score</t>
  </si>
  <si>
    <t>Forms not approved</t>
  </si>
  <si>
    <t>Hazards with a data quality flag</t>
  </si>
  <si>
    <t>Risk Scales and 5x5 Rating Matrix</t>
  </si>
  <si>
    <t>Scale labels are from The Akidamy Safeguard risk assessment forms. The rating matrix (light green) drives every rating in this workbook and is editable.</t>
  </si>
  <si>
    <t>Score</t>
  </si>
  <si>
    <t>Consequence</t>
  </si>
  <si>
    <t>Likelihood</t>
  </si>
  <si>
    <t>Insignificant</t>
  </si>
  <si>
    <t>Rare</t>
  </si>
  <si>
    <t>Minor</t>
  </si>
  <si>
    <t>Unlikely</t>
  </si>
  <si>
    <t>Possible</t>
  </si>
  <si>
    <t>Significant</t>
  </si>
  <si>
    <t>Likely</t>
  </si>
  <si>
    <t>Major</t>
  </si>
  <si>
    <t>Almost Certain</t>
  </si>
  <si>
    <t>Rating matrix (label for each Consequence x Likelihood cell)</t>
  </si>
  <si>
    <t>Score matrix (C x L)</t>
  </si>
  <si>
    <t>How the matrix was derived: every rating on the 88 forms (550 ratings, before and after controls) was mapped to its Consequence x Likelihood cell. Each cell was labelled the same way every time - the rating depends on the cell, not just the score (e.g. 2x2=4 is Low but 4x1=4 is Moderate; 5x2=10 is High but 2x5=10 is Moderate). Four cells (commented, top row) never appear on any form; their labels are inferred - please confirm against the Safeguard matrix.</t>
  </si>
  <si>
    <t>Count of hazards - INHERENT (no controls), both schools</t>
  </si>
  <si>
    <t>Count of hazards - RESIDUAL (with controls), both schools</t>
  </si>
  <si>
    <t>Data quality observations from the source forms (Perth &amp; Fremantle)</t>
  </si>
  <si>
    <t>Values in the Risk Register have NOT been changed from what assessors entered - issues are flagged for review.</t>
  </si>
  <si>
    <t>#</t>
  </si>
  <si>
    <t>Observation</t>
  </si>
  <si>
    <t>Where</t>
  </si>
  <si>
    <t>Suggested action</t>
  </si>
  <si>
    <t>CORRECTION to earlier version: rating labels are NOT inconsistent. The Safeguard matrix rates by cell, not by score - e.g. 2x2=4 is Low but 4x1=4 is Moderate; 5x2=10 is High but 2x5=10 is Moderate. All 550 ratings across both schools follow one matrix with no conflicts.</t>
  </si>
  <si>
    <t>Scales &amp; Matrix B13:F17.</t>
  </si>
  <si>
    <t>Four matrix cells are never used on any form and were inferred (1x5, 3x5, 4x5, 5x5) - confirm against Safeguard.</t>
  </si>
  <si>
    <t>Residual (with controls) score is HIGHER than inherent score on 13 hazards.</t>
  </si>
  <si>
    <t>F03-C Child Protection &amp; Staff Conduct Risk Assessm; P05-C Child Protection &amp; Staff Conduct Risk Assessm; F32-A Stationary - Children independently access st; F11-B Incident: Missing Child / Absconding (Nationa; P18-B Incident: Missing Child / Absconding (Nationa; F19-B Nappy Changing and Toileting (National Regula; P13-A Excursion out of school in pushchair (Fremant; P24-B Nappy Changing and Toileting (National Regula; P26-A Nursery and Toddlers. Excursions outside of t; F07-B Emergency: Lockdown / Intruder Risk Assessmen; F36-D Transport Risk Assessment (Public Train and B; F05-B Cyber Safety, Privacy &amp; Digital Documentation; P09-B Cyber Safety, Privacy &amp; Digital Documentation</t>
  </si>
  <si>
    <t>Controls should not increase risk - review scoring with the assessor. See Risk Register column AA.</t>
  </si>
  <si>
    <t>"Highest Risk Score" typed on the form does not match the highest residual hazard score: Perth 19 of 57 forms, Fremantle 12 of 40 forms.</t>
  </si>
  <si>
    <t>Summary by Assessment column M.</t>
  </si>
  <si>
    <t>Re-check forms; this workbook calculates the value from the hazard scores.</t>
  </si>
  <si>
    <t>3 forms are recorded as "Not Approved".</t>
  </si>
  <si>
    <t>P28 Potential Emergency Sistuations (Natural Disasters, Infrastr (Perth); P43 Using child safe knives during cooking experiences in Kinder (Perth); F22 Potential Emergency Sistuations (Natural Disasters, Infrastr (Fremantle)</t>
  </si>
  <si>
    <t>Complete approval in Safeguard or archive.</t>
  </si>
  <si>
    <t>Duplicate files in the exports were counted once.</t>
  </si>
  <si>
    <t>Perth: Water Safety and Glass spice jars (identical copies). Fremantle: Community Walk with Nursery, Fire Evacuation Multi-Story, Medical Drill/Actual Incident (identical copies); Administration of Medication exported twice (dated 8/12/2025 and 15/01/2026) with identical content - the 15/01/2026 version is used.</t>
  </si>
  <si>
    <t>Remove duplicates from OneDrive.</t>
  </si>
  <si>
    <t>3 Fremantle "AK - Risk Register" tickets are excluded from the register.</t>
  </si>
  <si>
    <t>"Temporary Restriction of Use of Equipment" and "Child Distressed on Excursion": the PDF export prints the whole dropdown list, so the selected risk value cannot be read, and there is no consequence/likelihood. "AK - Risk Register details" (3/03/2025) is a test entry (text "erfwe/werwe").</t>
  </si>
  <si>
    <t>Re-enter the two real tickets as full risk assessments if they are to be ranked; delete the test entry.</t>
  </si>
  <si>
    <t>Review dates are free text; several contain a name or other text instead of a date.</t>
  </si>
  <si>
    <t>Summary by Assessment column Q (e.g. Perth Zoo, New Printer, Sun Safety at both schools; Fremantle Multi Storey Evacuations and Stationary show "Lisa McLean"; Serious Incident shows a name).</t>
  </si>
  <si>
    <t>Standardise the review field to a date.</t>
  </si>
  <si>
    <t>Possible school allocation queries.</t>
  </si>
  <si>
    <t>Perth P-form "Excursion out of school in pushchair (Fremantle)" is lodged under Perth; Perth "Homemade Christmas tree painting" location says Perth and Fremantle.</t>
  </si>
  <si>
    <t>Change School on Summary by Assessment column C if needed.</t>
  </si>
  <si>
    <t>Fremantle Multi Storey Evacuations: the Highest Risk Score field also contains a policy link.</t>
  </si>
  <si>
    <t>Summary by Assessment column L (score kept, link text removed).</t>
  </si>
  <si>
    <t>None - link is https://www.sweetprocess.com/... as recorded on the form.</t>
  </si>
  <si>
    <t>9 additional Perth forms (2026) were added as P49-P57. Earlier IDs are unchanged.</t>
  </si>
  <si>
    <t>P49 Glass spice jars - New or Current Educational Resources; P50 Magnetic Pipeline Set - New or Current Educational Reso; P51 Pipe connecting toys ( New or Current Educational Resou; P52 The children will be using child safe knives to cut a v; P53 The K4 children will be walking to and dining at Ischia; P54 The K4 children will be walking to Cafe (Excursion Regu; P55 The K4 children will be walking to Norwood Park (Execur; P56 We are using aluminum foil in the Nursery - New or Curr; P57 Wooden marble run - New or Current Educational Resource</t>
  </si>
  <si>
    <t>None.</t>
  </si>
  <si>
    <t>Some 2026 Perth forms may supersede older versions of the same activity - both are currently kept and ranked.</t>
  </si>
  <si>
    <t>Child safe knives: P43 (4/03/2025, Not Approved) vs P52 (2/06/2026, Approved). Norwood Park walk: P14 Excursion to Noorwood Park (6/11/2025) vs P55 (15/06/2026). Cafe walk: P12 Lady Annie coffee excursion (16/11/2024) vs P54 walking to Cafe (4/05/2026).</t>
  </si>
  <si>
    <t>Confirm which versions are current; archive superseded forms and delete their rows if not required.</t>
  </si>
  <si>
    <t>Placeholder hazards: 20 forms have a second hazard (usually B) with no content ("-", "N/A", "na") scored 1 x 1. They are kept but flagged, and sit at the bottom of the ranking.</t>
  </si>
  <si>
    <t>Risk Register column AA - "Placeholder - no hazard entered on form".</t>
  </si>
  <si>
    <t>Filter them out if not wanted; remove the empty section from the Safeguard template use.</t>
  </si>
  <si>
    <t>No C x L arithmetic errors were found - every recorded risk value equals Consequence x Likelihood.</t>
  </si>
  <si>
    <t>All 293 hazards.</t>
  </si>
  <si>
    <t>How to use this workbook</t>
  </si>
  <si>
    <t>1. Risk Register - one row per hazard (293: Perth 161, Fremantle 132), sorted highest to lowest RESIDUAL score (with mitigations) across both schools. Filter column D for one school.</t>
  </si>
  <si>
    <t>2. Light green cells = variables: Consequence and Likelihood scores (Risk Register), School (Summary by Assessment), and the 5x5 rating matrix (Scales &amp; Matrix). Change them and scores, ratings and ranks recalculate; re-sort on column T to re-order.</t>
  </si>
  <si>
    <t>3. Score = Consequence (1-5) x Likelihood (1-5). Rating is looked up from the 5x5 matrix cell, matching how Safeguard rates.</t>
  </si>
  <si>
    <t>4. Summary by Assessment - one row per source form (97), ranked by its highest residual hazard. Assessment IDs: P## = Perth, F## = Fremantle.</t>
  </si>
  <si>
    <t>Top 10 tabs - Overall, Perth and Fremantle: live Top 10 by residual score, a bar chart (score without vs with mitigation), pie charts of all hazards by rating, and 5x5 matrices showing where each Top 10 risk sits before and after mitigation.</t>
  </si>
  <si>
    <t>Risk by Template - sunburst chart (inherent, residual and change) grouped by risk assessment template for both schools, Perth and Fremantle, plus a live summary table by template.</t>
  </si>
  <si>
    <t>5. School Comparison - hazard counts by rating before and after mitigation, and key statistics, for each school.</t>
  </si>
  <si>
    <t>6. Scales &amp; Matrix - scales, rating matrix, score matrix and heat maps of hazard counts.</t>
  </si>
  <si>
    <t>7. Data Quality Notes - issues found in the source forms, for review.</t>
  </si>
  <si>
    <t>Example: F05-A | Consequence 3, Likelihood 2 -&gt; Score 6 -&gt; Moderate.</t>
  </si>
  <si>
    <t>Variable input cell (light green)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</si>
</sst>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0"/>
  </numFmts>
  <fonts count="23" x14ac:knownFonts="1">
    <font>
      <sz val="11"/>
      <color theme="1"/>
      <name val="Calibri"/>
      <family val="2"/>
      <charset val="1"/>
    </font>
    <font>
      <b/>
      <sz val="14"/>
      <name val="Arial"/>
      <charset val="1"/>
    </font>
    <font>
      <i/>
      <sz val="9"/>
      <name val="Arial"/>
      <charset val="1"/>
    </font>
    <font>
      <b/>
      <sz val="9"/>
      <color rgb="FF1F3864"/>
      <name val="Arial"/>
      <charset val="1"/>
    </font>
    <font>
      <b/>
      <sz val="10"/>
      <color rgb="FFFFFFFF"/>
      <name val="Arial"/>
      <charset val="1"/>
    </font>
    <font>
      <b/>
      <sz val="8"/>
      <color rgb="FF808080"/>
      <name val="Arial"/>
      <charset val="1"/>
    </font>
    <font>
      <sz val="10"/>
      <name val="Arial"/>
      <charset val="1"/>
    </font>
    <font>
      <sz val="10"/>
      <color rgb="FF008000"/>
      <name val="Arial"/>
      <charset val="1"/>
    </font>
    <font>
      <sz val="10"/>
      <color rgb="FF0000FF"/>
      <name val="Arial"/>
      <charset val="1"/>
    </font>
    <font>
      <sz val="8"/>
      <color rgb="FF808080"/>
      <name val="Arial"/>
      <charset val="1"/>
    </font>
    <font>
      <sz val="10"/>
      <name val="Arial"/>
      <family val="2"/>
    </font>
    <font>
      <b/>
      <sz val="10"/>
      <name val="Arial"/>
      <charset val="1"/>
    </font>
    <font>
      <i/>
      <sz val="9"/>
      <color rgb="FFC00000"/>
      <name val="Arial"/>
      <charset val="1"/>
    </font>
    <font>
      <b/>
      <sz val="12"/>
      <name val="Arial"/>
      <charset val="1"/>
    </font>
    <font>
      <b/>
      <sz val="10"/>
      <color rgb="FF1F3864"/>
      <name val="Arial"/>
      <charset val="1"/>
    </font>
    <font>
      <b/>
      <sz val="8"/>
      <name val="Arial"/>
      <charset val="1"/>
    </font>
    <font>
      <b/>
      <sz val="9"/>
      <name val="Arial"/>
      <charset val="1"/>
    </font>
    <font>
      <b/>
      <sz val="11"/>
      <color rgb="FF1F3864"/>
      <name val="Arial"/>
      <charset val="1"/>
    </font>
    <font>
      <b/>
      <sz val="10"/>
      <color rgb="FF000000"/>
      <name val="Arial"/>
      <charset val="1"/>
    </font>
    <font>
      <sz val="10"/>
      <color rgb="FF000000"/>
      <name val="Arial"/>
      <charset val="1"/>
    </font>
    <font>
      <b/>
      <sz val="10"/>
      <color rgb="FF008000"/>
      <name val="Arial"/>
      <charset val="1"/>
    </font>
    <font>
      <b/>
      <sz val="11"/>
      <color rgb="FF0000FF"/>
      <name val="Arial"/>
      <charset val="1"/>
    </font>
    <font>
      <b/>
      <sz val="11"/>
      <name val="Arial"/>
      <charset val="1"/>
    </font>
  </fonts>
  <fills count="4">
    <fill>
      <patternFill patternType="none"/>
    </fill>
    <fill>
      <patternFill patternType="gray125"/>
    </fill>
    <fill>
      <patternFill patternType="solid">
        <fgColor rgb="FF1F3864"/>
        <bgColor rgb="FF333333"/>
      </patternFill>
    </fill>
    <fill>
      <patternFill patternType="solid">
        <fgColor rgb="FFC6EFCE"/>
        <bgColor rgb="FFC6E0B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3">
    <xf numFmtId="0" fontId="0" fillId="0" borderId="0" xfId="0"/>
    <xf numFmtId="0" fontId="2" fillId="0" borderId="0" xfId="0" applyFont="1" applyAlignment="1">
      <alignment vertical="top" wrapText="1"/>
    </xf>
    <xf numFmtId="0" fontId="1" fillId="0" borderId="0" xfId="0" applyFont="1"/>
    <xf numFmtId="0" fontId="2" fillId="0" borderId="0" xfId="0" applyFont="1"/>
    <xf numFmtId="0" fontId="3" fillId="0" borderId="0" xfId="0" applyFont="1"/>
    <xf numFmtId="0" fontId="4" fillId="2" borderId="1" xfId="0" applyFont="1" applyFill="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top" wrapText="1"/>
    </xf>
    <xf numFmtId="0" fontId="7" fillId="0" borderId="1" xfId="0" applyFont="1" applyBorder="1" applyAlignment="1">
      <alignment horizontal="center" vertical="top" wrapText="1"/>
    </xf>
    <xf numFmtId="0" fontId="6" fillId="0" borderId="1" xfId="0" applyFont="1" applyBorder="1" applyAlignment="1">
      <alignment vertical="top" wrapText="1"/>
    </xf>
    <xf numFmtId="0" fontId="8" fillId="3" borderId="1" xfId="0" applyFont="1" applyFill="1" applyBorder="1" applyAlignment="1">
      <alignment horizontal="center" vertical="top" wrapText="1"/>
    </xf>
    <xf numFmtId="164" fontId="6" fillId="0" borderId="1" xfId="0" applyNumberFormat="1" applyFont="1" applyBorder="1" applyAlignment="1">
      <alignment horizontal="center" vertical="top" wrapText="1"/>
    </xf>
    <xf numFmtId="9" fontId="6" fillId="0" borderId="1" xfId="0" applyNumberFormat="1" applyFont="1" applyBorder="1" applyAlignment="1">
      <alignment horizontal="center" vertical="top" wrapText="1"/>
    </xf>
    <xf numFmtId="0" fontId="9" fillId="0" borderId="0" xfId="0" applyFont="1"/>
    <xf numFmtId="0" fontId="11" fillId="0" borderId="1" xfId="0" applyFont="1" applyBorder="1" applyAlignment="1">
      <alignment horizontal="center" vertical="top" wrapText="1"/>
    </xf>
    <xf numFmtId="0" fontId="12" fillId="0" borderId="0" xfId="0" applyFont="1"/>
    <xf numFmtId="0" fontId="13" fillId="0" borderId="0" xfId="0" applyFont="1"/>
    <xf numFmtId="0" fontId="14" fillId="0" borderId="0" xfId="0" applyFont="1"/>
    <xf numFmtId="0" fontId="15" fillId="0" borderId="0" xfId="0" applyFont="1" applyAlignment="1">
      <alignment horizontal="center" vertical="center" wrapText="1"/>
    </xf>
    <xf numFmtId="0" fontId="4" fillId="2" borderId="0" xfId="0" applyFont="1" applyFill="1" applyAlignment="1">
      <alignment horizontal="center" vertical="center" wrapText="1"/>
    </xf>
    <xf numFmtId="0" fontId="16" fillId="0" borderId="1" xfId="0" applyFont="1" applyBorder="1" applyAlignment="1">
      <alignment horizontal="center" vertical="center" wrapText="1"/>
    </xf>
    <xf numFmtId="0" fontId="17" fillId="0" borderId="0" xfId="0" applyFont="1"/>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0" fontId="7" fillId="0" borderId="1" xfId="0" applyFont="1" applyBorder="1" applyAlignment="1">
      <alignment horizontal="center" vertical="center" wrapText="1"/>
    </xf>
    <xf numFmtId="165" fontId="7" fillId="0" borderId="1" xfId="0" applyNumberFormat="1" applyFont="1" applyBorder="1" applyAlignment="1">
      <alignment horizontal="center" vertical="center" wrapText="1"/>
    </xf>
    <xf numFmtId="0" fontId="18" fillId="0" borderId="1" xfId="0" applyFont="1" applyBorder="1" applyAlignment="1">
      <alignment horizontal="left" vertical="center" wrapText="1"/>
    </xf>
    <xf numFmtId="0" fontId="20" fillId="0" borderId="1" xfId="0" applyFont="1" applyBorder="1" applyAlignment="1">
      <alignment horizontal="center" vertical="center" wrapText="1"/>
    </xf>
    <xf numFmtId="165" fontId="20" fillId="0" borderId="1" xfId="0" applyNumberFormat="1" applyFont="1" applyBorder="1" applyAlignment="1">
      <alignment horizontal="center" vertical="center" wrapText="1"/>
    </xf>
    <xf numFmtId="0" fontId="6" fillId="0" borderId="1" xfId="0" applyFont="1" applyBorder="1" applyAlignment="1">
      <alignment horizontal="center"/>
    </xf>
    <xf numFmtId="9" fontId="6" fillId="0" borderId="1" xfId="0" applyNumberFormat="1" applyFont="1" applyBorder="1" applyAlignment="1">
      <alignment horizontal="center"/>
    </xf>
    <xf numFmtId="0" fontId="11" fillId="0" borderId="1" xfId="0" applyFont="1" applyBorder="1" applyAlignment="1">
      <alignment horizontal="center"/>
    </xf>
    <xf numFmtId="9" fontId="11" fillId="0" borderId="1" xfId="0" applyNumberFormat="1" applyFont="1" applyBorder="1" applyAlignment="1">
      <alignment horizontal="center"/>
    </xf>
    <xf numFmtId="0" fontId="6" fillId="0" borderId="1" xfId="0" applyFont="1" applyBorder="1" applyAlignment="1">
      <alignment horizontal="left"/>
    </xf>
    <xf numFmtId="165" fontId="6" fillId="0" borderId="1" xfId="0" applyNumberFormat="1" applyFont="1" applyBorder="1" applyAlignment="1">
      <alignment horizontal="center"/>
    </xf>
    <xf numFmtId="0" fontId="16" fillId="0" borderId="0" xfId="0" applyFont="1" applyAlignment="1">
      <alignment horizontal="center" vertical="center" wrapText="1"/>
    </xf>
    <xf numFmtId="0" fontId="21" fillId="3"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16" fillId="0" borderId="0" xfId="0" applyFont="1"/>
    <xf numFmtId="0" fontId="6" fillId="0" borderId="1" xfId="0" applyFont="1" applyBorder="1" applyAlignment="1">
      <alignment horizontal="center" vertical="center" wrapText="1"/>
    </xf>
    <xf numFmtId="0" fontId="13" fillId="0" borderId="0" xfId="0" applyFont="1" applyAlignment="1">
      <alignment vertical="top" wrapText="1"/>
    </xf>
    <xf numFmtId="0" fontId="6" fillId="0" borderId="0" xfId="0" applyFont="1" applyAlignment="1">
      <alignment vertical="top" wrapText="1"/>
    </xf>
    <xf numFmtId="0" fontId="8" fillId="3" borderId="0" xfId="0" applyFont="1" applyFill="1" applyAlignment="1">
      <alignment vertical="top" wrapText="1"/>
    </xf>
  </cellXfs>
  <cellStyles count="1">
    <cellStyle name="Normal" xfId="0" builtinId="0"/>
  </cellStyles>
  <dxfs count="1074">
    <dxf>
      <fill>
        <patternFill>
          <bgColor rgb="FFE2EFDA"/>
        </patternFill>
      </fill>
    </dxf>
    <dxf>
      <fill>
        <patternFill>
          <bgColor rgb="FFFFE699"/>
        </patternFill>
      </fill>
    </dxf>
    <dxf>
      <fill>
        <patternFill>
          <bgColor rgb="FFF4B084"/>
        </patternFill>
      </fill>
    </dxf>
    <dxf>
      <fill>
        <patternFill>
          <bgColor rgb="FFA9D08E"/>
        </patternFill>
      </fill>
    </dxf>
    <dxf>
      <fill>
        <patternFill>
          <bgColor rgb="FFC00000"/>
        </patternFill>
      </fill>
    </dxf>
    <dxf>
      <fill>
        <patternFill>
          <bgColor rgb="FFA9D08E"/>
        </patternFill>
      </fill>
    </dxf>
    <dxf>
      <fill>
        <patternFill>
          <bgColor rgb="FFFFE699"/>
        </patternFill>
      </fill>
    </dxf>
    <dxf>
      <fill>
        <patternFill>
          <bgColor rgb="FFF4B084"/>
        </patternFill>
      </fill>
    </dxf>
    <dxf>
      <fill>
        <patternFill>
          <bgColor rgb="FFC00000"/>
        </patternFill>
      </fill>
    </dxf>
    <dxf>
      <fill>
        <patternFill>
          <bgColor rgb="FFE2EFDA"/>
        </patternFill>
      </fill>
    </dxf>
    <dxf>
      <fill>
        <patternFill>
          <bgColor rgb="FFC00000"/>
        </patternFill>
      </fill>
    </dxf>
    <dxf>
      <fill>
        <patternFill>
          <bgColor rgb="FFF4B084"/>
        </patternFill>
      </fill>
    </dxf>
    <dxf>
      <fill>
        <patternFill>
          <bgColor rgb="FFE2EFDA"/>
        </patternFill>
      </fill>
    </dxf>
    <dxf>
      <fill>
        <patternFill>
          <bgColor rgb="FFA9D08E"/>
        </patternFill>
      </fill>
    </dxf>
    <dxf>
      <fill>
        <patternFill>
          <bgColor rgb="FFFFE699"/>
        </patternFill>
      </fill>
    </dxf>
    <dxf>
      <fill>
        <patternFill>
          <bgColor rgb="FFC00000"/>
        </patternFill>
      </fill>
    </dxf>
    <dxf>
      <fill>
        <patternFill>
          <bgColor rgb="FFF4B084"/>
        </patternFill>
      </fill>
    </dxf>
    <dxf>
      <fill>
        <patternFill>
          <bgColor rgb="FFA9D08E"/>
        </patternFill>
      </fill>
    </dxf>
    <dxf>
      <fill>
        <patternFill>
          <bgColor rgb="FFE2EFDA"/>
        </patternFill>
      </fill>
    </dxf>
    <dxf>
      <fill>
        <patternFill>
          <bgColor rgb="FFFFE699"/>
        </patternFill>
      </fill>
    </dxf>
    <dxf>
      <fill>
        <patternFill>
          <bgColor rgb="FFA9D08E"/>
        </patternFill>
      </fill>
    </dxf>
    <dxf>
      <fill>
        <patternFill>
          <bgColor rgb="FFE2EFDA"/>
        </patternFill>
      </fill>
    </dxf>
    <dxf>
      <fill>
        <patternFill>
          <bgColor rgb="FFC00000"/>
        </patternFill>
      </fill>
    </dxf>
    <dxf>
      <fill>
        <patternFill>
          <bgColor rgb="FFFFE699"/>
        </patternFill>
      </fill>
    </dxf>
    <dxf>
      <fill>
        <patternFill>
          <bgColor rgb="FFF4B084"/>
        </patternFill>
      </fill>
    </dxf>
    <dxf>
      <fill>
        <patternFill>
          <bgColor rgb="FFFFE699"/>
        </patternFill>
      </fill>
    </dxf>
    <dxf>
      <fill>
        <patternFill>
          <bgColor rgb="FFA9D08E"/>
        </patternFill>
      </fill>
    </dxf>
    <dxf>
      <fill>
        <patternFill>
          <bgColor rgb="FFE2EFDA"/>
        </patternFill>
      </fill>
    </dxf>
    <dxf>
      <fill>
        <patternFill>
          <bgColor rgb="FFC00000"/>
        </patternFill>
      </fill>
    </dxf>
    <dxf>
      <fill>
        <patternFill>
          <bgColor rgb="FFF4B084"/>
        </patternFill>
      </fill>
    </dxf>
    <dxf>
      <fill>
        <patternFill>
          <bgColor rgb="FFC00000"/>
        </patternFill>
      </fill>
    </dxf>
    <dxf>
      <fill>
        <patternFill>
          <bgColor rgb="FFF4B084"/>
        </patternFill>
      </fill>
    </dxf>
    <dxf>
      <fill>
        <patternFill>
          <bgColor rgb="FFE2EFDA"/>
        </patternFill>
      </fill>
    </dxf>
    <dxf>
      <fill>
        <patternFill>
          <bgColor rgb="FFFFE699"/>
        </patternFill>
      </fill>
    </dxf>
    <dxf>
      <fill>
        <patternFill>
          <bgColor rgb="FFA9D08E"/>
        </patternFill>
      </fill>
    </dxf>
    <dxf>
      <fill>
        <patternFill>
          <bgColor rgb="FFC00000"/>
        </patternFill>
      </fill>
    </dxf>
    <dxf>
      <fill>
        <patternFill>
          <bgColor rgb="FFF4B084"/>
        </patternFill>
      </fill>
    </dxf>
    <dxf>
      <fill>
        <patternFill>
          <bgColor rgb="FFA9D08E"/>
        </patternFill>
      </fill>
    </dxf>
    <dxf>
      <fill>
        <patternFill>
          <bgColor rgb="FFE2EFDA"/>
        </patternFill>
      </fill>
    </dxf>
    <dxf>
      <fill>
        <patternFill>
          <bgColor rgb="FFFFE699"/>
        </patternFill>
      </fill>
    </dxf>
    <dxf>
      <fill>
        <patternFill>
          <bgColor rgb="FFE2EFDA"/>
        </patternFill>
      </fill>
    </dxf>
    <dxf>
      <fill>
        <patternFill>
          <bgColor rgb="FFF4B084"/>
        </patternFill>
      </fill>
    </dxf>
    <dxf>
      <fill>
        <patternFill>
          <bgColor rgb="FFC00000"/>
        </patternFill>
      </fill>
    </dxf>
    <dxf>
      <fill>
        <patternFill>
          <bgColor rgb="FFA9D08E"/>
        </patternFill>
      </fill>
    </dxf>
    <dxf>
      <fill>
        <patternFill>
          <bgColor rgb="FFFFE699"/>
        </patternFill>
      </fill>
    </dxf>
    <dxf>
      <fill>
        <patternFill>
          <bgColor rgb="FFA9D08E"/>
        </patternFill>
      </fill>
    </dxf>
    <dxf>
      <fill>
        <patternFill>
          <bgColor rgb="FFFFE699"/>
        </patternFill>
      </fill>
    </dxf>
    <dxf>
      <fill>
        <patternFill>
          <bgColor rgb="FFF4B084"/>
        </patternFill>
      </fill>
    </dxf>
    <dxf>
      <fill>
        <patternFill>
          <bgColor rgb="FFC00000"/>
        </patternFill>
      </fill>
    </dxf>
    <dxf>
      <fill>
        <patternFill>
          <bgColor rgb="FFE2EFDA"/>
        </patternFill>
      </fill>
    </dxf>
    <dxf>
      <fill>
        <patternFill>
          <bgColor rgb="FFE2EFDA"/>
        </patternFill>
      </fill>
    </dxf>
    <dxf>
      <fill>
        <patternFill>
          <bgColor rgb="FFFFE699"/>
        </patternFill>
      </fill>
    </dxf>
    <dxf>
      <fill>
        <patternFill>
          <bgColor rgb="FFF4B084"/>
        </patternFill>
      </fill>
    </dxf>
    <dxf>
      <fill>
        <patternFill>
          <bgColor rgb="FFC00000"/>
        </patternFill>
      </fill>
    </dxf>
    <dxf>
      <fill>
        <patternFill>
          <bgColor rgb="FFA9D08E"/>
        </patternFill>
      </fill>
    </dxf>
    <dxf>
      <fill>
        <patternFill>
          <bgColor rgb="FFFFE699"/>
        </patternFill>
      </fill>
    </dxf>
    <dxf>
      <fill>
        <patternFill>
          <bgColor rgb="FFC00000"/>
        </patternFill>
      </fill>
    </dxf>
    <dxf>
      <fill>
        <patternFill>
          <bgColor rgb="FFF4B084"/>
        </patternFill>
      </fill>
    </dxf>
    <dxf>
      <fill>
        <patternFill>
          <bgColor rgb="FFA9D08E"/>
        </patternFill>
      </fill>
    </dxf>
    <dxf>
      <fill>
        <patternFill>
          <bgColor rgb="FFE2EFDA"/>
        </patternFill>
      </fill>
    </dxf>
    <dxf>
      <fill>
        <patternFill>
          <bgColor rgb="FFF4B084"/>
        </patternFill>
      </fill>
    </dxf>
    <dxf>
      <fill>
        <patternFill>
          <bgColor rgb="FFC00000"/>
        </patternFill>
      </fill>
    </dxf>
    <dxf>
      <fill>
        <patternFill>
          <bgColor rgb="FFFFE699"/>
        </patternFill>
      </fill>
    </dxf>
    <dxf>
      <fill>
        <patternFill>
          <bgColor rgb="FFE2EFDA"/>
        </patternFill>
      </fill>
    </dxf>
    <dxf>
      <fill>
        <patternFill>
          <bgColor rgb="FFA9D08E"/>
        </patternFill>
      </fill>
    </dxf>
    <dxf>
      <fill>
        <patternFill>
          <bgColor rgb="FFE2EFDA"/>
        </patternFill>
      </fill>
    </dxf>
    <dxf>
      <fill>
        <patternFill>
          <bgColor rgb="FFA9D08E"/>
        </patternFill>
      </fill>
    </dxf>
    <dxf>
      <fill>
        <patternFill>
          <bgColor rgb="FFFFE699"/>
        </patternFill>
      </fill>
    </dxf>
    <dxf>
      <fill>
        <patternFill>
          <bgColor rgb="FFF4B084"/>
        </patternFill>
      </fill>
    </dxf>
    <dxf>
      <fill>
        <patternFill>
          <bgColor rgb="FFC00000"/>
        </patternFill>
      </fill>
    </dxf>
    <dxf>
      <fill>
        <patternFill>
          <bgColor rgb="FFC00000"/>
        </patternFill>
      </fill>
    </dxf>
    <dxf>
      <fill>
        <patternFill>
          <bgColor rgb="FFE2EFDA"/>
        </patternFill>
      </fill>
    </dxf>
    <dxf>
      <fill>
        <patternFill>
          <bgColor rgb="FFA9D08E"/>
        </patternFill>
      </fill>
    </dxf>
    <dxf>
      <fill>
        <patternFill>
          <bgColor rgb="FFFFE699"/>
        </patternFill>
      </fill>
    </dxf>
    <dxf>
      <fill>
        <patternFill>
          <bgColor rgb="FFF4B084"/>
        </patternFill>
      </fill>
    </dxf>
    <dxf>
      <fill>
        <patternFill>
          <bgColor rgb="FFA9D08E"/>
        </patternFill>
      </fill>
    </dxf>
    <dxf>
      <fill>
        <patternFill>
          <bgColor rgb="FFE2EFDA"/>
        </patternFill>
      </fill>
    </dxf>
    <dxf>
      <fill>
        <patternFill>
          <bgColor rgb="FFF4B084"/>
        </patternFill>
      </fill>
    </dxf>
    <dxf>
      <fill>
        <patternFill>
          <bgColor rgb="FFFFE699"/>
        </patternFill>
      </fill>
    </dxf>
    <dxf>
      <fill>
        <patternFill>
          <bgColor rgb="FFC00000"/>
        </patternFill>
      </fill>
    </dxf>
    <dxf>
      <fill>
        <patternFill>
          <bgColor rgb="FFFFE699"/>
        </patternFill>
      </fill>
    </dxf>
    <dxf>
      <fill>
        <patternFill>
          <bgColor rgb="FFA9D08E"/>
        </patternFill>
      </fill>
    </dxf>
    <dxf>
      <fill>
        <patternFill>
          <bgColor rgb="FFE2EFDA"/>
        </patternFill>
      </fill>
    </dxf>
    <dxf>
      <fill>
        <patternFill>
          <bgColor rgb="FFC00000"/>
        </patternFill>
      </fill>
    </dxf>
    <dxf>
      <fill>
        <patternFill>
          <bgColor rgb="FFF4B084"/>
        </patternFill>
      </fill>
    </dxf>
    <dxf>
      <fill>
        <patternFill>
          <bgColor rgb="FFFFE699"/>
        </patternFill>
      </fill>
    </dxf>
    <dxf>
      <fill>
        <patternFill>
          <bgColor rgb="FFC00000"/>
        </patternFill>
      </fill>
    </dxf>
    <dxf>
      <fill>
        <patternFill>
          <bgColor rgb="FFF4B084"/>
        </patternFill>
      </fill>
    </dxf>
    <dxf>
      <fill>
        <patternFill>
          <bgColor rgb="FFE2EFDA"/>
        </patternFill>
      </fill>
    </dxf>
    <dxf>
      <fill>
        <patternFill>
          <bgColor rgb="FFA9D08E"/>
        </patternFill>
      </fill>
    </dxf>
    <dxf>
      <fill>
        <patternFill>
          <bgColor rgb="FFF4B084"/>
        </patternFill>
      </fill>
    </dxf>
    <dxf>
      <fill>
        <patternFill>
          <bgColor rgb="FFFFE699"/>
        </patternFill>
      </fill>
    </dxf>
    <dxf>
      <fill>
        <patternFill>
          <bgColor rgb="FFA9D08E"/>
        </patternFill>
      </fill>
    </dxf>
    <dxf>
      <fill>
        <patternFill>
          <bgColor rgb="FFE2EFDA"/>
        </patternFill>
      </fill>
    </dxf>
    <dxf>
      <fill>
        <patternFill>
          <bgColor rgb="FFC00000"/>
        </patternFill>
      </fill>
    </dxf>
    <dxf>
      <fill>
        <patternFill>
          <bgColor rgb="FFA9D08E"/>
        </patternFill>
      </fill>
    </dxf>
    <dxf>
      <fill>
        <patternFill>
          <bgColor rgb="FFE2EFDA"/>
        </patternFill>
      </fill>
    </dxf>
    <dxf>
      <fill>
        <patternFill>
          <bgColor rgb="FFFFE699"/>
        </patternFill>
      </fill>
    </dxf>
    <dxf>
      <fill>
        <patternFill>
          <bgColor rgb="FFF4B084"/>
        </patternFill>
      </fill>
    </dxf>
    <dxf>
      <fill>
        <patternFill>
          <bgColor rgb="FFC00000"/>
        </patternFill>
      </fill>
    </dxf>
    <dxf>
      <fill>
        <patternFill>
          <bgColor rgb="FFE2EFDA"/>
        </patternFill>
      </fill>
    </dxf>
    <dxf>
      <fill>
        <patternFill>
          <bgColor rgb="FFC00000"/>
        </patternFill>
      </fill>
    </dxf>
    <dxf>
      <fill>
        <patternFill>
          <bgColor rgb="FFA9D08E"/>
        </patternFill>
      </fill>
    </dxf>
    <dxf>
      <fill>
        <patternFill>
          <bgColor rgb="FFFFE699"/>
        </patternFill>
      </fill>
    </dxf>
    <dxf>
      <fill>
        <patternFill>
          <bgColor rgb="FFF4B084"/>
        </patternFill>
      </fill>
    </dxf>
    <dxf>
      <fill>
        <patternFill>
          <bgColor rgb="FFE2EFDA"/>
        </patternFill>
      </fill>
    </dxf>
    <dxf>
      <fill>
        <patternFill>
          <bgColor rgb="FFA9D08E"/>
        </patternFill>
      </fill>
    </dxf>
    <dxf>
      <fill>
        <patternFill>
          <bgColor rgb="FFFFE699"/>
        </patternFill>
      </fill>
    </dxf>
    <dxf>
      <fill>
        <patternFill>
          <bgColor rgb="FFF4B084"/>
        </patternFill>
      </fill>
    </dxf>
    <dxf>
      <fill>
        <patternFill>
          <bgColor rgb="FFC00000"/>
        </patternFill>
      </fill>
    </dxf>
    <dxf>
      <fill>
        <patternFill>
          <bgColor rgb="FFA9D08E"/>
        </patternFill>
      </fill>
    </dxf>
    <dxf>
      <fill>
        <patternFill>
          <bgColor rgb="FFFFE699"/>
        </patternFill>
      </fill>
    </dxf>
    <dxf>
      <fill>
        <patternFill>
          <bgColor rgb="FFF4B084"/>
        </patternFill>
      </fill>
    </dxf>
    <dxf>
      <fill>
        <patternFill>
          <bgColor rgb="FFC00000"/>
        </patternFill>
      </fill>
    </dxf>
    <dxf>
      <fill>
        <patternFill>
          <bgColor rgb="FFE2EFDA"/>
        </patternFill>
      </fill>
    </dxf>
    <dxf>
      <fill>
        <patternFill>
          <bgColor rgb="FFC00000"/>
        </patternFill>
      </fill>
    </dxf>
    <dxf>
      <fill>
        <patternFill>
          <bgColor rgb="FFF4B084"/>
        </patternFill>
      </fill>
    </dxf>
    <dxf>
      <fill>
        <patternFill>
          <bgColor rgb="FFFFE699"/>
        </patternFill>
      </fill>
    </dxf>
    <dxf>
      <fill>
        <patternFill>
          <bgColor rgb="FFA9D08E"/>
        </patternFill>
      </fill>
    </dxf>
    <dxf>
      <fill>
        <patternFill>
          <bgColor rgb="FFE2EFDA"/>
        </patternFill>
      </fill>
    </dxf>
    <dxf>
      <fill>
        <patternFill>
          <bgColor rgb="FFC00000"/>
        </patternFill>
      </fill>
    </dxf>
    <dxf>
      <fill>
        <patternFill>
          <bgColor rgb="FFF4B084"/>
        </patternFill>
      </fill>
    </dxf>
    <dxf>
      <fill>
        <patternFill>
          <bgColor rgb="FFE2EFDA"/>
        </patternFill>
      </fill>
    </dxf>
    <dxf>
      <fill>
        <patternFill>
          <bgColor rgb="FFA9D08E"/>
        </patternFill>
      </fill>
    </dxf>
    <dxf>
      <fill>
        <patternFill>
          <bgColor rgb="FFFFE699"/>
        </patternFill>
      </fill>
    </dxf>
    <dxf>
      <fill>
        <patternFill>
          <bgColor rgb="FFA9D08E"/>
        </patternFill>
      </fill>
    </dxf>
    <dxf>
      <fill>
        <patternFill>
          <bgColor rgb="FFE2EFDA"/>
        </patternFill>
      </fill>
    </dxf>
    <dxf>
      <fill>
        <patternFill>
          <bgColor rgb="FFC00000"/>
        </patternFill>
      </fill>
    </dxf>
    <dxf>
      <fill>
        <patternFill>
          <bgColor rgb="FFF4B084"/>
        </patternFill>
      </fill>
    </dxf>
    <dxf>
      <fill>
        <patternFill>
          <bgColor rgb="FFFFE699"/>
        </patternFill>
      </fill>
    </dxf>
    <dxf>
      <fill>
        <patternFill>
          <bgColor rgb="FFE2EFDA"/>
        </patternFill>
      </fill>
    </dxf>
    <dxf>
      <fill>
        <patternFill>
          <bgColor rgb="FFFFE699"/>
        </patternFill>
      </fill>
    </dxf>
    <dxf>
      <fill>
        <patternFill>
          <bgColor rgb="FFF4B084"/>
        </patternFill>
      </fill>
    </dxf>
    <dxf>
      <fill>
        <patternFill>
          <bgColor rgb="FFC00000"/>
        </patternFill>
      </fill>
    </dxf>
    <dxf>
      <fill>
        <patternFill>
          <bgColor rgb="FFA9D08E"/>
        </patternFill>
      </fill>
    </dxf>
    <dxf>
      <fill>
        <patternFill>
          <bgColor rgb="FFA9D08E"/>
        </patternFill>
      </fill>
    </dxf>
    <dxf>
      <fill>
        <patternFill>
          <bgColor rgb="FFE2EFDA"/>
        </patternFill>
      </fill>
    </dxf>
    <dxf>
      <fill>
        <patternFill>
          <bgColor rgb="FFFFE699"/>
        </patternFill>
      </fill>
    </dxf>
    <dxf>
      <fill>
        <patternFill>
          <bgColor rgb="FFF4B084"/>
        </patternFill>
      </fill>
    </dxf>
    <dxf>
      <fill>
        <patternFill>
          <bgColor rgb="FFC00000"/>
        </patternFill>
      </fill>
    </dxf>
    <dxf>
      <fill>
        <patternFill>
          <bgColor rgb="FFC00000"/>
        </patternFill>
      </fill>
    </dxf>
    <dxf>
      <fill>
        <patternFill>
          <bgColor rgb="FFF4B084"/>
        </patternFill>
      </fill>
    </dxf>
    <dxf>
      <fill>
        <patternFill>
          <bgColor rgb="FFFFE699"/>
        </patternFill>
      </fill>
    </dxf>
    <dxf>
      <fill>
        <patternFill>
          <bgColor rgb="FFA9D08E"/>
        </patternFill>
      </fill>
    </dxf>
    <dxf>
      <fill>
        <patternFill>
          <bgColor rgb="FFE2EFDA"/>
        </patternFill>
      </fill>
    </dxf>
    <dxf>
      <fill>
        <patternFill>
          <bgColor rgb="FFFFE699"/>
        </patternFill>
      </fill>
    </dxf>
    <dxf>
      <fill>
        <patternFill>
          <bgColor rgb="FFA9D08E"/>
        </patternFill>
      </fill>
    </dxf>
    <dxf>
      <fill>
        <patternFill>
          <bgColor rgb="FFE2EFDA"/>
        </patternFill>
      </fill>
    </dxf>
    <dxf>
      <fill>
        <patternFill>
          <bgColor rgb="FFC00000"/>
        </patternFill>
      </fill>
    </dxf>
    <dxf>
      <fill>
        <patternFill>
          <bgColor rgb="FFF4B084"/>
        </patternFill>
      </fill>
    </dxf>
    <dxf>
      <fill>
        <patternFill>
          <bgColor rgb="FFFFE699"/>
        </patternFill>
      </fill>
    </dxf>
    <dxf>
      <fill>
        <patternFill>
          <bgColor rgb="FFC00000"/>
        </patternFill>
      </fill>
    </dxf>
    <dxf>
      <fill>
        <patternFill>
          <bgColor rgb="FFE2EFDA"/>
        </patternFill>
      </fill>
    </dxf>
    <dxf>
      <fill>
        <patternFill>
          <bgColor rgb="FFA9D08E"/>
        </patternFill>
      </fill>
    </dxf>
    <dxf>
      <fill>
        <patternFill>
          <bgColor rgb="FFF4B084"/>
        </patternFill>
      </fill>
    </dxf>
    <dxf>
      <fill>
        <patternFill>
          <bgColor rgb="FFA9D08E"/>
        </patternFill>
      </fill>
    </dxf>
    <dxf>
      <fill>
        <patternFill>
          <bgColor rgb="FFFFE699"/>
        </patternFill>
      </fill>
    </dxf>
    <dxf>
      <fill>
        <patternFill>
          <bgColor rgb="FFC00000"/>
        </patternFill>
      </fill>
    </dxf>
    <dxf>
      <fill>
        <patternFill>
          <bgColor rgb="FFF4B084"/>
        </patternFill>
      </fill>
    </dxf>
    <dxf>
      <fill>
        <patternFill>
          <bgColor rgb="FFE2EFDA"/>
        </patternFill>
      </fill>
    </dxf>
    <dxf>
      <fill>
        <patternFill>
          <bgColor rgb="FFA9D08E"/>
        </patternFill>
      </fill>
    </dxf>
    <dxf>
      <fill>
        <patternFill>
          <bgColor rgb="FFFFE699"/>
        </patternFill>
      </fill>
    </dxf>
    <dxf>
      <fill>
        <patternFill>
          <bgColor rgb="FFF4B084"/>
        </patternFill>
      </fill>
    </dxf>
    <dxf>
      <fill>
        <patternFill>
          <bgColor rgb="FFC00000"/>
        </patternFill>
      </fill>
    </dxf>
    <dxf>
      <fill>
        <patternFill>
          <bgColor rgb="FFE2EFDA"/>
        </patternFill>
      </fill>
    </dxf>
    <dxf>
      <fill>
        <patternFill>
          <bgColor rgb="FFE2EFDA"/>
        </patternFill>
      </fill>
    </dxf>
    <dxf>
      <fill>
        <patternFill>
          <bgColor rgb="FFA9D08E"/>
        </patternFill>
      </fill>
    </dxf>
    <dxf>
      <fill>
        <patternFill>
          <bgColor rgb="FFFFE699"/>
        </patternFill>
      </fill>
    </dxf>
    <dxf>
      <fill>
        <patternFill>
          <bgColor rgb="FFF4B084"/>
        </patternFill>
      </fill>
    </dxf>
    <dxf>
      <fill>
        <patternFill>
          <bgColor rgb="FFC00000"/>
        </patternFill>
      </fill>
    </dxf>
    <dxf>
      <fill>
        <patternFill>
          <bgColor rgb="FFE2EFDA"/>
        </patternFill>
      </fill>
    </dxf>
    <dxf>
      <fill>
        <patternFill>
          <bgColor rgb="FFA9D08E"/>
        </patternFill>
      </fill>
    </dxf>
    <dxf>
      <fill>
        <patternFill>
          <bgColor rgb="FFFFE699"/>
        </patternFill>
      </fill>
    </dxf>
    <dxf>
      <fill>
        <patternFill>
          <bgColor rgb="FFF4B084"/>
        </patternFill>
      </fill>
    </dxf>
    <dxf>
      <fill>
        <patternFill>
          <bgColor rgb="FFC00000"/>
        </patternFill>
      </fill>
    </dxf>
    <dxf>
      <fill>
        <patternFill>
          <bgColor rgb="FFA9D08E"/>
        </patternFill>
      </fill>
    </dxf>
    <dxf>
      <fill>
        <patternFill>
          <bgColor rgb="FFE2EFDA"/>
        </patternFill>
      </fill>
    </dxf>
    <dxf>
      <fill>
        <patternFill>
          <bgColor rgb="FFC00000"/>
        </patternFill>
      </fill>
    </dxf>
    <dxf>
      <fill>
        <patternFill>
          <bgColor rgb="FFF4B084"/>
        </patternFill>
      </fill>
    </dxf>
    <dxf>
      <fill>
        <patternFill>
          <bgColor rgb="FFFFE699"/>
        </patternFill>
      </fill>
    </dxf>
    <dxf>
      <fill>
        <patternFill>
          <bgColor rgb="FFFFE699"/>
        </patternFill>
      </fill>
    </dxf>
    <dxf>
      <fill>
        <patternFill>
          <bgColor rgb="FFE2EFDA"/>
        </patternFill>
      </fill>
    </dxf>
    <dxf>
      <fill>
        <patternFill>
          <bgColor rgb="FFA9D08E"/>
        </patternFill>
      </fill>
    </dxf>
    <dxf>
      <fill>
        <patternFill>
          <bgColor rgb="FFF4B084"/>
        </patternFill>
      </fill>
    </dxf>
    <dxf>
      <fill>
        <patternFill>
          <bgColor rgb="FFC00000"/>
        </patternFill>
      </fill>
    </dxf>
    <dxf>
      <fill>
        <patternFill>
          <bgColor rgb="FFFFE699"/>
        </patternFill>
      </fill>
    </dxf>
    <dxf>
      <fill>
        <patternFill>
          <bgColor rgb="FFE2EFDA"/>
        </patternFill>
      </fill>
    </dxf>
    <dxf>
      <fill>
        <patternFill>
          <bgColor rgb="FFF4B084"/>
        </patternFill>
      </fill>
    </dxf>
    <dxf>
      <fill>
        <patternFill>
          <bgColor rgb="FFC00000"/>
        </patternFill>
      </fill>
    </dxf>
    <dxf>
      <fill>
        <patternFill>
          <bgColor rgb="FFA9D08E"/>
        </patternFill>
      </fill>
    </dxf>
    <dxf>
      <fill>
        <patternFill>
          <bgColor rgb="FFC00000"/>
        </patternFill>
      </fill>
    </dxf>
    <dxf>
      <fill>
        <patternFill>
          <bgColor rgb="FFFFE699"/>
        </patternFill>
      </fill>
    </dxf>
    <dxf>
      <fill>
        <patternFill>
          <bgColor rgb="FFE2EFDA"/>
        </patternFill>
      </fill>
    </dxf>
    <dxf>
      <fill>
        <patternFill>
          <bgColor rgb="FFA9D08E"/>
        </patternFill>
      </fill>
    </dxf>
    <dxf>
      <fill>
        <patternFill>
          <bgColor rgb="FFF4B084"/>
        </patternFill>
      </fill>
    </dxf>
    <dxf>
      <fill>
        <patternFill>
          <bgColor rgb="FFE2EFDA"/>
        </patternFill>
      </fill>
    </dxf>
    <dxf>
      <fill>
        <patternFill>
          <bgColor rgb="FFC00000"/>
        </patternFill>
      </fill>
    </dxf>
    <dxf>
      <fill>
        <patternFill>
          <bgColor rgb="FFF4B084"/>
        </patternFill>
      </fill>
    </dxf>
    <dxf>
      <fill>
        <patternFill>
          <bgColor rgb="FFFFE699"/>
        </patternFill>
      </fill>
    </dxf>
    <dxf>
      <fill>
        <patternFill>
          <bgColor rgb="FFA9D08E"/>
        </patternFill>
      </fill>
    </dxf>
    <dxf>
      <fill>
        <patternFill>
          <bgColor rgb="FFF4B084"/>
        </patternFill>
      </fill>
    </dxf>
    <dxf>
      <fill>
        <patternFill>
          <bgColor rgb="FFE2EFDA"/>
        </patternFill>
      </fill>
    </dxf>
    <dxf>
      <fill>
        <patternFill>
          <bgColor rgb="FFA9D08E"/>
        </patternFill>
      </fill>
    </dxf>
    <dxf>
      <fill>
        <patternFill>
          <bgColor rgb="FFFFE699"/>
        </patternFill>
      </fill>
    </dxf>
    <dxf>
      <fill>
        <patternFill>
          <bgColor rgb="FFC00000"/>
        </patternFill>
      </fill>
    </dxf>
    <dxf>
      <fill>
        <patternFill>
          <bgColor rgb="FFA9D08E"/>
        </patternFill>
      </fill>
    </dxf>
    <dxf>
      <fill>
        <patternFill>
          <bgColor rgb="FFE2EFDA"/>
        </patternFill>
      </fill>
    </dxf>
    <dxf>
      <fill>
        <patternFill>
          <bgColor rgb="FFC00000"/>
        </patternFill>
      </fill>
    </dxf>
    <dxf>
      <fill>
        <patternFill>
          <bgColor rgb="FFF4B084"/>
        </patternFill>
      </fill>
    </dxf>
    <dxf>
      <fill>
        <patternFill>
          <bgColor rgb="FFFFE699"/>
        </patternFill>
      </fill>
    </dxf>
    <dxf>
      <fill>
        <patternFill>
          <bgColor rgb="FFA9D08E"/>
        </patternFill>
      </fill>
    </dxf>
    <dxf>
      <fill>
        <patternFill>
          <bgColor rgb="FFE2EFDA"/>
        </patternFill>
      </fill>
    </dxf>
    <dxf>
      <fill>
        <patternFill>
          <bgColor rgb="FFC00000"/>
        </patternFill>
      </fill>
    </dxf>
    <dxf>
      <fill>
        <patternFill>
          <bgColor rgb="FFFFE699"/>
        </patternFill>
      </fill>
    </dxf>
    <dxf>
      <fill>
        <patternFill>
          <bgColor rgb="FFF4B084"/>
        </patternFill>
      </fill>
    </dxf>
    <dxf>
      <fill>
        <patternFill>
          <bgColor rgb="FFA9D08E"/>
        </patternFill>
      </fill>
    </dxf>
    <dxf>
      <fill>
        <patternFill>
          <bgColor rgb="FFE2EFDA"/>
        </patternFill>
      </fill>
    </dxf>
    <dxf>
      <fill>
        <patternFill>
          <bgColor rgb="FFC00000"/>
        </patternFill>
      </fill>
    </dxf>
    <dxf>
      <fill>
        <patternFill>
          <bgColor rgb="FFF4B084"/>
        </patternFill>
      </fill>
    </dxf>
    <dxf>
      <fill>
        <patternFill>
          <bgColor rgb="FFFFE699"/>
        </patternFill>
      </fill>
    </dxf>
    <dxf>
      <fill>
        <patternFill>
          <bgColor rgb="FFA9D08E"/>
        </patternFill>
      </fill>
    </dxf>
    <dxf>
      <fill>
        <patternFill>
          <bgColor rgb="FFF4B084"/>
        </patternFill>
      </fill>
    </dxf>
    <dxf>
      <fill>
        <patternFill>
          <bgColor rgb="FFC00000"/>
        </patternFill>
      </fill>
    </dxf>
    <dxf>
      <fill>
        <patternFill>
          <bgColor rgb="FFFFE699"/>
        </patternFill>
      </fill>
    </dxf>
    <dxf>
      <fill>
        <patternFill>
          <bgColor rgb="FFE2EFDA"/>
        </patternFill>
      </fill>
    </dxf>
    <dxf>
      <fill>
        <patternFill>
          <bgColor rgb="FFA9D08E"/>
        </patternFill>
      </fill>
    </dxf>
    <dxf>
      <fill>
        <patternFill>
          <bgColor rgb="FFFFE699"/>
        </patternFill>
      </fill>
    </dxf>
    <dxf>
      <fill>
        <patternFill>
          <bgColor rgb="FFE2EFDA"/>
        </patternFill>
      </fill>
    </dxf>
    <dxf>
      <fill>
        <patternFill>
          <bgColor rgb="FFC00000"/>
        </patternFill>
      </fill>
    </dxf>
    <dxf>
      <fill>
        <patternFill>
          <bgColor rgb="FFF4B084"/>
        </patternFill>
      </fill>
    </dxf>
    <dxf>
      <fill>
        <patternFill>
          <bgColor rgb="FFF4B084"/>
        </patternFill>
      </fill>
    </dxf>
    <dxf>
      <fill>
        <patternFill>
          <bgColor rgb="FFC00000"/>
        </patternFill>
      </fill>
    </dxf>
    <dxf>
      <fill>
        <patternFill>
          <bgColor rgb="FFFFE699"/>
        </patternFill>
      </fill>
    </dxf>
    <dxf>
      <fill>
        <patternFill>
          <bgColor rgb="FFA9D08E"/>
        </patternFill>
      </fill>
    </dxf>
    <dxf>
      <fill>
        <patternFill>
          <bgColor rgb="FFE2EFDA"/>
        </patternFill>
      </fill>
    </dxf>
    <dxf>
      <fill>
        <patternFill>
          <bgColor rgb="FFFFE699"/>
        </patternFill>
      </fill>
    </dxf>
    <dxf>
      <fill>
        <patternFill>
          <bgColor rgb="FFE2EFDA"/>
        </patternFill>
      </fill>
    </dxf>
    <dxf>
      <fill>
        <patternFill>
          <bgColor rgb="FFA9D08E"/>
        </patternFill>
      </fill>
    </dxf>
    <dxf>
      <fill>
        <patternFill>
          <bgColor rgb="FFC00000"/>
        </patternFill>
      </fill>
    </dxf>
    <dxf>
      <fill>
        <patternFill>
          <bgColor rgb="FFF4B084"/>
        </patternFill>
      </fill>
    </dxf>
    <dxf>
      <fill>
        <patternFill>
          <bgColor rgb="FFC00000"/>
        </patternFill>
      </fill>
    </dxf>
    <dxf>
      <fill>
        <patternFill>
          <bgColor rgb="FFFFE699"/>
        </patternFill>
      </fill>
    </dxf>
    <dxf>
      <fill>
        <patternFill>
          <bgColor rgb="FFA9D08E"/>
        </patternFill>
      </fill>
    </dxf>
    <dxf>
      <fill>
        <patternFill>
          <bgColor rgb="FFE2EFDA"/>
        </patternFill>
      </fill>
    </dxf>
    <dxf>
      <fill>
        <patternFill>
          <bgColor rgb="FFF4B084"/>
        </patternFill>
      </fill>
    </dxf>
    <dxf>
      <fill>
        <patternFill>
          <bgColor rgb="FFE2EFDA"/>
        </patternFill>
      </fill>
    </dxf>
    <dxf>
      <fill>
        <patternFill>
          <bgColor rgb="FFA9D08E"/>
        </patternFill>
      </fill>
    </dxf>
    <dxf>
      <fill>
        <patternFill>
          <bgColor rgb="FFFFE699"/>
        </patternFill>
      </fill>
    </dxf>
    <dxf>
      <fill>
        <patternFill>
          <bgColor rgb="FFC00000"/>
        </patternFill>
      </fill>
    </dxf>
    <dxf>
      <fill>
        <patternFill>
          <bgColor rgb="FFF4B084"/>
        </patternFill>
      </fill>
    </dxf>
    <dxf>
      <fill>
        <patternFill>
          <bgColor rgb="FFE2EFDA"/>
        </patternFill>
      </fill>
    </dxf>
    <dxf>
      <fill>
        <patternFill>
          <bgColor rgb="FFA9D08E"/>
        </patternFill>
      </fill>
    </dxf>
    <dxf>
      <fill>
        <patternFill>
          <bgColor rgb="FFFFE699"/>
        </patternFill>
      </fill>
    </dxf>
    <dxf>
      <fill>
        <patternFill>
          <bgColor rgb="FFF4B084"/>
        </patternFill>
      </fill>
    </dxf>
    <dxf>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ill>
        <patternFill>
          <bgColor rgb="FFFF9999"/>
        </patternFill>
      </fill>
    </dxf>
    <dxf>
      <fill>
        <patternFill>
          <bgColor rgb="FFFCE4D6"/>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1F3864"/>
      </font>
    </dxf>
    <dxf>
      <fill>
        <patternFill>
          <bgColor rgb="FFC6E0B4"/>
        </patternFill>
      </fill>
    </dxf>
    <dxf>
      <fill>
        <patternFill>
          <bgColor rgb="FFFFE699"/>
        </patternFill>
      </fill>
    </dxf>
    <dxf>
      <fill>
        <patternFill>
          <bgColor rgb="FFF4B084"/>
        </patternFill>
      </fill>
    </dxf>
    <dxf>
      <fill>
        <patternFill>
          <bgColor rgb="FFC6E0B4"/>
        </patternFill>
      </fill>
    </dxf>
    <dxf>
      <fill>
        <patternFill>
          <bgColor rgb="FFFFE699"/>
        </patternFill>
      </fill>
    </dxf>
    <dxf>
      <fill>
        <patternFill>
          <bgColor rgb="FFF4B084"/>
        </patternFill>
      </fill>
    </dxf>
    <dxf>
      <fill>
        <patternFill>
          <bgColor rgb="FFC6E0B4"/>
        </patternFill>
      </fill>
    </dxf>
    <dxf>
      <fill>
        <patternFill>
          <bgColor rgb="FFFFE699"/>
        </patternFill>
      </fill>
    </dxf>
    <dxf>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F4B084"/>
        </patternFill>
      </fill>
    </dxf>
    <dxf>
      <font>
        <b/>
        <color rgb="FF000000"/>
      </font>
      <fill>
        <patternFill>
          <bgColor rgb="FFFFE699"/>
        </patternFill>
      </fill>
    </dxf>
    <dxf>
      <font>
        <b/>
        <color rgb="FFFFFFFF"/>
      </font>
      <fill>
        <patternFill>
          <bgColor rgb="FFC00000"/>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FFE699"/>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FFFFFF"/>
      </font>
      <fill>
        <patternFill>
          <bgColor rgb="FFC00000"/>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E2EFDA"/>
        </patternFill>
      </fill>
    </dxf>
    <dxf>
      <font>
        <b/>
        <color rgb="FF000000"/>
      </font>
      <fill>
        <patternFill>
          <bgColor rgb="FFE2EFDA"/>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F4B084"/>
        </patternFill>
      </fill>
    </dxf>
    <dxf>
      <font>
        <b/>
        <color rgb="FF000000"/>
      </font>
      <fill>
        <patternFill>
          <bgColor rgb="FFFFE699"/>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F4B084"/>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FFFFFF"/>
      </font>
      <fill>
        <patternFill>
          <bgColor rgb="FFC00000"/>
        </patternFill>
      </fill>
    </dxf>
    <dxf>
      <font>
        <b/>
        <color rgb="FF000000"/>
      </font>
      <fill>
        <patternFill>
          <bgColor rgb="FFA9D08E"/>
        </patternFill>
      </fill>
    </dxf>
    <dxf>
      <font>
        <b/>
        <color rgb="FF000000"/>
      </font>
      <fill>
        <patternFill>
          <bgColor rgb="FFF4B084"/>
        </patternFill>
      </fill>
    </dxf>
    <dxf>
      <font>
        <b/>
        <color rgb="FF000000"/>
      </font>
      <fill>
        <patternFill>
          <bgColor rgb="FFFFE699"/>
        </patternFill>
      </fill>
    </dxf>
    <dxf>
      <font>
        <b/>
        <color rgb="FF000000"/>
      </font>
      <fill>
        <patternFill>
          <bgColor rgb="FFE2EFDA"/>
        </patternFill>
      </fill>
    </dxf>
    <dxf>
      <font>
        <b/>
        <color rgb="FFFFFFFF"/>
      </font>
      <fill>
        <patternFill>
          <bgColor rgb="FFC00000"/>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E2EFDA"/>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FFFFFF"/>
      </font>
      <fill>
        <patternFill>
          <bgColor rgb="FFC00000"/>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000000"/>
      </font>
      <fill>
        <patternFill>
          <bgColor rgb="FFA9D08E"/>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4B084"/>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E2EFDA"/>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000000"/>
      </font>
      <fill>
        <patternFill>
          <bgColor rgb="FFA9D08E"/>
        </patternFill>
      </fill>
    </dxf>
    <dxf>
      <font>
        <b/>
        <color rgb="FF000000"/>
      </font>
      <fill>
        <patternFill>
          <bgColor rgb="FFFFE699"/>
        </patternFill>
      </fill>
    </dxf>
    <dxf>
      <font>
        <b/>
        <color rgb="FF000000"/>
      </font>
      <fill>
        <patternFill>
          <bgColor rgb="FFE2EFDA"/>
        </patternFill>
      </fill>
    </dxf>
    <dxf>
      <font>
        <b/>
        <color rgb="FF000000"/>
      </font>
      <fill>
        <patternFill>
          <bgColor rgb="FFF4B084"/>
        </patternFill>
      </fill>
    </dxf>
    <dxf>
      <font>
        <b/>
        <color rgb="FFFFFFFF"/>
      </font>
      <fill>
        <patternFill>
          <bgColor rgb="FFC00000"/>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F4B084"/>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FFE699"/>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F4B084"/>
        </patternFill>
      </fill>
    </dxf>
    <dxf>
      <font>
        <b/>
        <color rgb="FF000000"/>
      </font>
      <fill>
        <patternFill>
          <bgColor rgb="FFFFE699"/>
        </patternFill>
      </fill>
    </dxf>
    <dxf>
      <font>
        <b/>
        <color rgb="FFFFFFFF"/>
      </font>
      <fill>
        <patternFill>
          <bgColor rgb="FFC00000"/>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FFE699"/>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FFFFFF"/>
      </font>
      <fill>
        <patternFill>
          <bgColor rgb="FFC00000"/>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E2EFDA"/>
        </patternFill>
      </fill>
    </dxf>
    <dxf>
      <font>
        <b/>
        <color rgb="FF000000"/>
      </font>
      <fill>
        <patternFill>
          <bgColor rgb="FFE2EFDA"/>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F4B084"/>
        </patternFill>
      </fill>
    </dxf>
    <dxf>
      <font>
        <b/>
        <color rgb="FF000000"/>
      </font>
      <fill>
        <patternFill>
          <bgColor rgb="FFFFE699"/>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F4B084"/>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FFFFFF"/>
      </font>
      <fill>
        <patternFill>
          <bgColor rgb="FFC00000"/>
        </patternFill>
      </fill>
    </dxf>
    <dxf>
      <font>
        <b/>
        <color rgb="FF000000"/>
      </font>
      <fill>
        <patternFill>
          <bgColor rgb="FFA9D08E"/>
        </patternFill>
      </fill>
    </dxf>
    <dxf>
      <font>
        <b/>
        <color rgb="FF000000"/>
      </font>
      <fill>
        <patternFill>
          <bgColor rgb="FFF4B084"/>
        </patternFill>
      </fill>
    </dxf>
    <dxf>
      <font>
        <b/>
        <color rgb="FF000000"/>
      </font>
      <fill>
        <patternFill>
          <bgColor rgb="FFFFE699"/>
        </patternFill>
      </fill>
    </dxf>
    <dxf>
      <font>
        <b/>
        <color rgb="FF000000"/>
      </font>
      <fill>
        <patternFill>
          <bgColor rgb="FFE2EFDA"/>
        </patternFill>
      </fill>
    </dxf>
    <dxf>
      <font>
        <b/>
        <color rgb="FFFFFFFF"/>
      </font>
      <fill>
        <patternFill>
          <bgColor rgb="FFC00000"/>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E2EFDA"/>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FFFFFF"/>
      </font>
      <fill>
        <patternFill>
          <bgColor rgb="FFC00000"/>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000000"/>
      </font>
      <fill>
        <patternFill>
          <bgColor rgb="FFA9D08E"/>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4B084"/>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E2EFDA"/>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000000"/>
      </font>
      <fill>
        <patternFill>
          <bgColor rgb="FFA9D08E"/>
        </patternFill>
      </fill>
    </dxf>
    <dxf>
      <font>
        <b/>
        <color rgb="FF000000"/>
      </font>
      <fill>
        <patternFill>
          <bgColor rgb="FFFFE699"/>
        </patternFill>
      </fill>
    </dxf>
    <dxf>
      <font>
        <b/>
        <color rgb="FF000000"/>
      </font>
      <fill>
        <patternFill>
          <bgColor rgb="FFE2EFDA"/>
        </patternFill>
      </fill>
    </dxf>
    <dxf>
      <font>
        <b/>
        <color rgb="FF000000"/>
      </font>
      <fill>
        <patternFill>
          <bgColor rgb="FFF4B084"/>
        </patternFill>
      </fill>
    </dxf>
    <dxf>
      <font>
        <b/>
        <color rgb="FFFFFFFF"/>
      </font>
      <fill>
        <patternFill>
          <bgColor rgb="FFC00000"/>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F4B084"/>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FFE699"/>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F4B084"/>
        </patternFill>
      </fill>
    </dxf>
    <dxf>
      <font>
        <b/>
        <color rgb="FF000000"/>
      </font>
      <fill>
        <patternFill>
          <bgColor rgb="FFFFE699"/>
        </patternFill>
      </fill>
    </dxf>
    <dxf>
      <font>
        <b/>
        <color rgb="FFFFFFFF"/>
      </font>
      <fill>
        <patternFill>
          <bgColor rgb="FFC00000"/>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FFE699"/>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FFFFFF"/>
      </font>
      <fill>
        <patternFill>
          <bgColor rgb="FFC00000"/>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E2EFDA"/>
        </patternFill>
      </fill>
    </dxf>
    <dxf>
      <font>
        <b/>
        <color rgb="FF000000"/>
      </font>
      <fill>
        <patternFill>
          <bgColor rgb="FFE2EFDA"/>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F4B084"/>
        </patternFill>
      </fill>
    </dxf>
    <dxf>
      <font>
        <b/>
        <color rgb="FF000000"/>
      </font>
      <fill>
        <patternFill>
          <bgColor rgb="FFFFE699"/>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F4B084"/>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FFFFFF"/>
      </font>
      <fill>
        <patternFill>
          <bgColor rgb="FFC00000"/>
        </patternFill>
      </fill>
    </dxf>
    <dxf>
      <font>
        <b/>
        <color rgb="FF000000"/>
      </font>
      <fill>
        <patternFill>
          <bgColor rgb="FFA9D08E"/>
        </patternFill>
      </fill>
    </dxf>
    <dxf>
      <font>
        <b/>
        <color rgb="FF000000"/>
      </font>
      <fill>
        <patternFill>
          <bgColor rgb="FFF4B084"/>
        </patternFill>
      </fill>
    </dxf>
    <dxf>
      <font>
        <b/>
        <color rgb="FF000000"/>
      </font>
      <fill>
        <patternFill>
          <bgColor rgb="FFFFE699"/>
        </patternFill>
      </fill>
    </dxf>
    <dxf>
      <font>
        <b/>
        <color rgb="FF000000"/>
      </font>
      <fill>
        <patternFill>
          <bgColor rgb="FFE2EFDA"/>
        </patternFill>
      </fill>
    </dxf>
    <dxf>
      <font>
        <b/>
        <color rgb="FFFFFFFF"/>
      </font>
      <fill>
        <patternFill>
          <bgColor rgb="FFC00000"/>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E2EFDA"/>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FFFFFF"/>
      </font>
      <fill>
        <patternFill>
          <bgColor rgb="FFC00000"/>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000000"/>
      </font>
      <fill>
        <patternFill>
          <bgColor rgb="FFA9D08E"/>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4B084"/>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E2EFDA"/>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F4B084"/>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000000"/>
      </font>
      <fill>
        <patternFill>
          <bgColor rgb="FFA9D08E"/>
        </patternFill>
      </fill>
    </dxf>
    <dxf>
      <font>
        <b/>
        <color rgb="FF000000"/>
      </font>
      <fill>
        <patternFill>
          <bgColor rgb="FFFFE699"/>
        </patternFill>
      </fill>
    </dxf>
    <dxf>
      <font>
        <b/>
        <color rgb="FF000000"/>
      </font>
      <fill>
        <patternFill>
          <bgColor rgb="FFE2EFDA"/>
        </patternFill>
      </fill>
    </dxf>
    <dxf>
      <font>
        <b/>
        <color rgb="FF000000"/>
      </font>
      <fill>
        <patternFill>
          <bgColor rgb="FFF4B084"/>
        </patternFill>
      </fill>
    </dxf>
    <dxf>
      <font>
        <b/>
        <color rgb="FFFFFFFF"/>
      </font>
      <fill>
        <patternFill>
          <bgColor rgb="FFC00000"/>
        </patternFill>
      </fill>
    </dxf>
    <dxf>
      <font>
        <b/>
        <color rgb="FFFFFFFF"/>
      </font>
      <fill>
        <patternFill>
          <bgColor rgb="FFC00000"/>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000000"/>
      </font>
      <fill>
        <patternFill>
          <bgColor rgb="FFF4B084"/>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000000"/>
      </font>
      <fill>
        <patternFill>
          <bgColor rgb="FFFFE699"/>
        </patternFill>
      </fill>
    </dxf>
    <dxf>
      <font>
        <b/>
        <color rgb="FF000000"/>
      </font>
      <fill>
        <patternFill>
          <bgColor rgb="FFE2EFDA"/>
        </patternFill>
      </fill>
    </dxf>
    <dxf>
      <font>
        <b/>
        <color rgb="FF000000"/>
      </font>
      <fill>
        <patternFill>
          <bgColor rgb="FFA9D08E"/>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FFFFFF"/>
      </font>
      <fill>
        <patternFill>
          <bgColor rgb="FFC00000"/>
        </patternFill>
      </fill>
    </dxf>
    <dxf>
      <font>
        <b/>
        <color rgb="FF000000"/>
      </font>
      <fill>
        <patternFill>
          <bgColor rgb="FFF4B084"/>
        </patternFill>
      </fill>
    </dxf>
    <dxf>
      <font>
        <b/>
        <color rgb="FF000000"/>
      </font>
      <fill>
        <patternFill>
          <bgColor rgb="FFFFE699"/>
        </patternFill>
      </fill>
    </dxf>
    <dxf>
      <font>
        <b/>
        <color rgb="FF000000"/>
      </font>
      <fill>
        <patternFill>
          <bgColor rgb="FFA9D08E"/>
        </patternFill>
      </fill>
    </dxf>
    <dxf>
      <font>
        <b/>
        <color rgb="FF000000"/>
      </font>
      <fill>
        <patternFill>
          <bgColor rgb="FFE2EFDA"/>
        </patternFill>
      </fill>
    </dxf>
    <dxf>
      <font>
        <b/>
        <color rgb="FFFFFFFF"/>
      </font>
      <fill>
        <patternFill>
          <bgColor rgb="FFC00000"/>
        </patternFill>
      </fill>
    </dxf>
    <dxf>
      <font>
        <b/>
        <color rgb="FF000000"/>
      </font>
      <fill>
        <patternFill>
          <bgColor rgb="FFF4B084"/>
        </patternFill>
      </fill>
    </dxf>
    <dxf>
      <font>
        <b/>
        <color rgb="FF000000"/>
      </font>
      <fill>
        <patternFill>
          <bgColor rgb="FFE2EFDA"/>
        </patternFill>
      </fill>
    </dxf>
    <dxf>
      <font>
        <b/>
        <color rgb="FF000000"/>
      </font>
      <fill>
        <patternFill>
          <bgColor rgb="FFFFE699"/>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A9D08E"/>
        </patternFill>
      </fill>
    </dxf>
    <dxf>
      <font>
        <b/>
        <color rgb="FF000000"/>
      </font>
      <fill>
        <patternFill>
          <bgColor rgb="FFE2EFDA"/>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ill>
        <patternFill>
          <bgColor rgb="FFFCE4D6"/>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ont>
        <b/>
        <color rgb="FF000000"/>
      </font>
      <fill>
        <patternFill>
          <bgColor rgb="FFE2EFDA"/>
        </patternFill>
      </fill>
    </dxf>
    <dxf>
      <font>
        <b/>
        <color rgb="FF000000"/>
      </font>
      <fill>
        <patternFill>
          <bgColor rgb="FFA9D08E"/>
        </patternFill>
      </fill>
    </dxf>
    <dxf>
      <font>
        <b/>
        <color rgb="FF000000"/>
      </font>
      <fill>
        <patternFill>
          <bgColor rgb="FFFFE699"/>
        </patternFill>
      </fill>
    </dxf>
    <dxf>
      <font>
        <b/>
        <color rgb="FF000000"/>
      </font>
      <fill>
        <patternFill>
          <bgColor rgb="FFF4B084"/>
        </patternFill>
      </fill>
    </dxf>
    <dxf>
      <font>
        <b/>
        <color rgb="FFFFFFFF"/>
      </font>
      <fill>
        <patternFill>
          <bgColor rgb="FFC00000"/>
        </patternFill>
      </fill>
    </dxf>
    <dxf>
      <fill>
        <patternFill>
          <bgColor rgb="FFDDEBF7"/>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2EFDA"/>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6E0B4"/>
      <rgbColor rgb="FFC6EFCE"/>
      <rgbColor rgb="FFFFE699"/>
      <rgbColor rgb="FFA9D08E"/>
      <rgbColor rgb="FFFF9999"/>
      <rgbColor rgb="FFFCE4D6"/>
      <rgbColor rgb="FFF4B084"/>
      <rgbColor rgb="FF3366FF"/>
      <rgbColor rgb="FF33CCCC"/>
      <rgbColor rgb="FF99CC00"/>
      <rgbColor rgb="FFFFCC00"/>
      <rgbColor rgb="FFFF9900"/>
      <rgbColor rgb="FFFF6600"/>
      <rgbColor rgb="FF4F81BD"/>
      <rgbColor rgb="FF878787"/>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Top 10 Overall: score without vs with mitigation</a:t>
            </a:r>
          </a:p>
        </c:rich>
      </c:tx>
      <c:overlay val="1"/>
    </c:title>
    <c:autoTitleDeleted val="0"/>
    <c:plotArea>
      <c:layout/>
      <c:barChart>
        <c:barDir val="col"/>
        <c:grouping val="clustered"/>
        <c:varyColors val="1"/>
        <c:ser>
          <c:idx val="0"/>
          <c:order val="0"/>
          <c:tx>
            <c:v>Without mitigation (inherent)</c:v>
          </c:tx>
          <c:spPr>
            <a:solidFill>
              <a:srgbClr val="F4B084"/>
            </a:solidFill>
            <a:ln>
              <a:prstDash val="solid"/>
            </a:ln>
          </c:spPr>
          <c:invertIfNegative val="1"/>
          <c:dLbls>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'Top 10 - Overall'!$D$5:$D$14</c:f>
              <c:strCache>
                <c:ptCount val="10"/>
                <c:pt idx="0">
                  <c:v>P36-C</c:v>
                </c:pt>
                <c:pt idx="1">
                  <c:v>F01-A</c:v>
                </c:pt>
                <c:pt idx="2">
                  <c:v>P18-E</c:v>
                </c:pt>
                <c:pt idx="3">
                  <c:v>F03-C</c:v>
                </c:pt>
                <c:pt idx="4">
                  <c:v>P05-C</c:v>
                </c:pt>
                <c:pt idx="5">
                  <c:v>F09-A</c:v>
                </c:pt>
                <c:pt idx="6">
                  <c:v>F24-B</c:v>
                </c:pt>
                <c:pt idx="7">
                  <c:v>F28-C</c:v>
                </c:pt>
                <c:pt idx="8">
                  <c:v>F31-B</c:v>
                </c:pt>
                <c:pt idx="9">
                  <c:v>P15-E</c:v>
                </c:pt>
              </c:strCache>
            </c:strRef>
          </c:cat>
          <c:val>
            <c:numRef>
              <c:f>'Top 10 - Overall'!$J$5:$J$14</c:f>
              <c:numCache>
                <c:formatCode>General</c:formatCode>
                <c:ptCount val="10"/>
                <c:pt idx="0">
                  <c:v>15</c:v>
                </c:pt>
                <c:pt idx="1">
                  <c:v>12</c:v>
                </c:pt>
                <c:pt idx="2">
                  <c:v>12</c:v>
                </c:pt>
                <c:pt idx="3">
                  <c:v>9</c:v>
                </c:pt>
                <c:pt idx="4">
                  <c:v>9</c:v>
                </c:pt>
                <c:pt idx="5">
                  <c:v>15</c:v>
                </c:pt>
                <c:pt idx="6">
                  <c:v>15</c:v>
                </c:pt>
                <c:pt idx="7">
                  <c:v>15</c:v>
                </c:pt>
                <c:pt idx="8">
                  <c:v>15</c:v>
                </c:pt>
                <c:pt idx="9">
                  <c:v>15</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47B9-4389-B5B8-CA94DB44A50D}"/>
            </c:ext>
          </c:extLst>
        </c:ser>
        <c:ser>
          <c:idx val="1"/>
          <c:order val="1"/>
          <c:tx>
            <c:v>With mitigation (residual)</c:v>
          </c:tx>
          <c:spPr>
            <a:solidFill>
              <a:srgbClr val="1F3864"/>
            </a:solidFill>
            <a:ln>
              <a:prstDash val="solid"/>
            </a:ln>
          </c:spPr>
          <c:invertIfNegative val="1"/>
          <c:dLbls>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'Top 10 - Overall'!$D$5:$D$14</c:f>
              <c:strCache>
                <c:ptCount val="10"/>
                <c:pt idx="0">
                  <c:v>P36-C</c:v>
                </c:pt>
                <c:pt idx="1">
                  <c:v>F01-A</c:v>
                </c:pt>
                <c:pt idx="2">
                  <c:v>P18-E</c:v>
                </c:pt>
                <c:pt idx="3">
                  <c:v>F03-C</c:v>
                </c:pt>
                <c:pt idx="4">
                  <c:v>P05-C</c:v>
                </c:pt>
                <c:pt idx="5">
                  <c:v>F09-A</c:v>
                </c:pt>
                <c:pt idx="6">
                  <c:v>F24-B</c:v>
                </c:pt>
                <c:pt idx="7">
                  <c:v>F28-C</c:v>
                </c:pt>
                <c:pt idx="8">
                  <c:v>F31-B</c:v>
                </c:pt>
                <c:pt idx="9">
                  <c:v>P15-E</c:v>
                </c:pt>
              </c:strCache>
            </c:strRef>
          </c:cat>
          <c:val>
            <c:numRef>
              <c:f>'Top 10 - Overall'!$O$5:$O$14</c:f>
              <c:numCache>
                <c:formatCode>General</c:formatCode>
                <c:ptCount val="10"/>
                <c:pt idx="0">
                  <c:v>12</c:v>
                </c:pt>
                <c:pt idx="1">
                  <c:v>12</c:v>
                </c:pt>
                <c:pt idx="2">
                  <c:v>12</c:v>
                </c:pt>
                <c:pt idx="3">
                  <c:v>12</c:v>
                </c:pt>
                <c:pt idx="4">
                  <c:v>12</c:v>
                </c:pt>
                <c:pt idx="5">
                  <c:v>10</c:v>
                </c:pt>
                <c:pt idx="6">
                  <c:v>10</c:v>
                </c:pt>
                <c:pt idx="7">
                  <c:v>10</c:v>
                </c:pt>
                <c:pt idx="8">
                  <c:v>10</c:v>
                </c:pt>
                <c:pt idx="9">
                  <c:v>10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47B9-4389-B5B8-CA94DB44A50D}"/>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en-US"/>
                  <a:t>Risk ID</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max val="25"/>
          <c:min val="0"/>
        </c:scaling>
        <c:delete val="0"/>
        <c:axPos val="l"/>
        <c:majorGridlines/>
        <c:title>
          <c:tx>
            <c:rich>
              <a:bodyPr/>
              <a:lstStyle/>
              <a:p>
                <a:pPr>
                  <a:defRPr/>
                </a:pPr>
                <a:r>
                  <a:rPr lang="en-US"/>
                  <a:t>Risk score (C x L)</a:t>
                </a:r>
              </a:p>
            </c:rich>
          </c:tx>
          <c:overlay val="1"/>
        </c:title>
        <c:numFmt formatCode="General" sourceLinked="1"/>
        <c:majorTickMark val="none"/>
        <c:minorTickMark val="none"/>
        <c:tickLblPos val="nextTo"/>
        <c:crossAx val="10"/>
        <c:crosses val="autoZero"/>
        <c:crossBetween val="between"/>
        <c:majorUnit val="5"/>
      </c:valAx>
    </c:plotArea>
    <c:legend>
      <c:legendPos val="b"/>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Both schools: all hazards by rating without mitigation (inherent)</a:t>
            </a:r>
          </a:p>
        </c:rich>
      </c:tx>
      <c:overlay val="1"/>
    </c:title>
    <c:autoTitleDeleted val="0"/>
    <c:plotArea>
      <c:layout/>
      <c:pieChart>
        <c:varyColors val="1"/>
        <c:ser>
          <c:idx val="0"/>
          <c:order val="0"/>
          <c:tx>
            <c:v>Hazards</c:v>
          </c:tx>
          <c:spPr>
            <a:ln>
              <a:prstDash val="solid"/>
            </a:ln>
          </c:spPr>
          <c:dPt>
            <c:idx val="0"/>
            <c:bubble3D val="0"/>
            <c:spPr>
              <a:solidFill>
                <a:srgbClr val="C00000"/>
              </a:solidFill>
              <a:ln>
                <a:prstDash val="solid"/>
              </a:ln>
            </c:spPr>
            <c:extLst>
              <c:ext xmlns:c16="http://schemas.microsoft.com/office/drawing/2014/chart" uri="{C3380CC4-5D6E-409C-BE32-E72D297353CC}">
                <c16:uniqueId val="{00000001-4F7D-4451-B829-A6B2C60C505D}"/>
              </c:ext>
            </c:extLst>
          </c:dPt>
          <c:dPt>
            <c:idx val="1"/>
            <c:bubble3D val="0"/>
            <c:spPr>
              <a:solidFill>
                <a:srgbClr val="F4B084"/>
              </a:solidFill>
              <a:ln>
                <a:prstDash val="solid"/>
              </a:ln>
            </c:spPr>
            <c:extLst>
              <c:ext xmlns:c16="http://schemas.microsoft.com/office/drawing/2014/chart" uri="{C3380CC4-5D6E-409C-BE32-E72D297353CC}">
                <c16:uniqueId val="{00000003-4F7D-4451-B829-A6B2C60C505D}"/>
              </c:ext>
            </c:extLst>
          </c:dPt>
          <c:dPt>
            <c:idx val="2"/>
            <c:bubble3D val="0"/>
            <c:spPr>
              <a:solidFill>
                <a:srgbClr val="FFE699"/>
              </a:solidFill>
              <a:ln>
                <a:prstDash val="solid"/>
              </a:ln>
            </c:spPr>
            <c:extLst>
              <c:ext xmlns:c16="http://schemas.microsoft.com/office/drawing/2014/chart" uri="{C3380CC4-5D6E-409C-BE32-E72D297353CC}">
                <c16:uniqueId val="{00000005-4F7D-4451-B829-A6B2C60C505D}"/>
              </c:ext>
            </c:extLst>
          </c:dPt>
          <c:dPt>
            <c:idx val="3"/>
            <c:bubble3D val="0"/>
            <c:spPr>
              <a:solidFill>
                <a:srgbClr val="A9D08E"/>
              </a:solidFill>
              <a:ln>
                <a:prstDash val="solid"/>
              </a:ln>
            </c:spPr>
            <c:extLst>
              <c:ext xmlns:c16="http://schemas.microsoft.com/office/drawing/2014/chart" uri="{C3380CC4-5D6E-409C-BE32-E72D297353CC}">
                <c16:uniqueId val="{00000007-4F7D-4451-B829-A6B2C60C505D}"/>
              </c:ext>
            </c:extLst>
          </c:dPt>
          <c:dPt>
            <c:idx val="4"/>
            <c:bubble3D val="0"/>
            <c:spPr>
              <a:solidFill>
                <a:srgbClr val="E2EFDA"/>
              </a:solidFill>
              <a:ln>
                <a:prstDash val="solid"/>
              </a:ln>
            </c:spPr>
            <c:extLst>
              <c:ext xmlns:c16="http://schemas.microsoft.com/office/drawing/2014/chart" uri="{C3380CC4-5D6E-409C-BE32-E72D297353CC}">
                <c16:uniqueId val="{00000009-4F7D-4451-B829-A6B2C60C505D}"/>
              </c:ext>
            </c:extLst>
          </c:dPt>
          <c:dLbls>
            <c:spPr>
              <a:noFill/>
              <a:ln>
                <a:noFill/>
              </a:ln>
              <a:effectLst/>
            </c:spPr>
            <c:showLegendKey val="0"/>
            <c:showVal val="0"/>
            <c:showCatName val="0"/>
            <c:showSerName val="0"/>
            <c:showPercent val="1"/>
            <c:showBubbleSize val="1"/>
            <c:showLeaderLines val="1"/>
            <c:extLst>
              <c:ext xmlns:c15="http://schemas.microsoft.com/office/drawing/2012/chart" uri="{CE6537A1-D6FC-4f65-9D91-7224C49458BB}"/>
            </c:extLst>
          </c:dLbls>
          <c:cat>
            <c:strRef>
              <c:f>'School Comparison'!$A$6:$A$10</c:f>
              <c:strCache>
                <c:ptCount val="5"/>
                <c:pt idx="0">
                  <c:v>Critical</c:v>
                </c:pt>
                <c:pt idx="1">
                  <c:v>High</c:v>
                </c:pt>
                <c:pt idx="2">
                  <c:v>Moderate</c:v>
                </c:pt>
                <c:pt idx="3">
                  <c:v>Low</c:v>
                </c:pt>
                <c:pt idx="4">
                  <c:v>Very Low</c:v>
                </c:pt>
              </c:strCache>
            </c:strRef>
          </c:cat>
          <c:val>
            <c:numRef>
              <c:f>'School Comparison'!$D$6:$D$10</c:f>
              <c:numCache>
                <c:formatCode>General</c:formatCode>
                <c:ptCount val="5"/>
                <c:pt idx="0">
                  <c:v>4</c:v>
                </c:pt>
                <c:pt idx="1">
                  <c:v>120</c:v>
                </c:pt>
                <c:pt idx="2">
                  <c:v>131</c:v>
                </c:pt>
                <c:pt idx="3">
                  <c:v>12</c:v>
                </c:pt>
                <c:pt idx="4">
                  <c:v>26</c:v>
                </c:pt>
              </c:numCache>
            </c:numRef>
          </c:val>
          <c:extLst>
            <c:ext xmlns:c16="http://schemas.microsoft.com/office/drawing/2014/chart" uri="{C3380CC4-5D6E-409C-BE32-E72D297353CC}">
              <c16:uniqueId val="{0000000A-4F7D-4451-B829-A6B2C60C505D}"/>
            </c:ext>
          </c:extLst>
        </c:ser>
        <c:dLbls>
          <c:showLegendKey val="0"/>
          <c:showVal val="0"/>
          <c:showCatName val="0"/>
          <c:showSerName val="0"/>
          <c:showPercent val="1"/>
          <c:showBubbleSize val="1"/>
          <c:showLeaderLines val="1"/>
        </c:dLbls>
        <c:firstSliceAng val="0"/>
      </c:pieChart>
    </c:plotArea>
    <c:legend>
      <c:legendPos val="r"/>
      <c:overlay val="1"/>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Both schools: all hazards by rating with mitigation (residual)</a:t>
            </a:r>
          </a:p>
        </c:rich>
      </c:tx>
      <c:overlay val="1"/>
    </c:title>
    <c:autoTitleDeleted val="0"/>
    <c:plotArea>
      <c:layout/>
      <c:pieChart>
        <c:varyColors val="1"/>
        <c:ser>
          <c:idx val="0"/>
          <c:order val="0"/>
          <c:tx>
            <c:v>Hazards</c:v>
          </c:tx>
          <c:spPr>
            <a:ln>
              <a:prstDash val="solid"/>
            </a:ln>
          </c:spPr>
          <c:dPt>
            <c:idx val="0"/>
            <c:bubble3D val="0"/>
            <c:spPr>
              <a:solidFill>
                <a:srgbClr val="C00000"/>
              </a:solidFill>
              <a:ln>
                <a:prstDash val="solid"/>
              </a:ln>
            </c:spPr>
            <c:extLst>
              <c:ext xmlns:c16="http://schemas.microsoft.com/office/drawing/2014/chart" uri="{C3380CC4-5D6E-409C-BE32-E72D297353CC}">
                <c16:uniqueId val="{00000001-513C-40C9-A776-97476059CCE3}"/>
              </c:ext>
            </c:extLst>
          </c:dPt>
          <c:dPt>
            <c:idx val="1"/>
            <c:bubble3D val="0"/>
            <c:spPr>
              <a:solidFill>
                <a:srgbClr val="F4B084"/>
              </a:solidFill>
              <a:ln>
                <a:prstDash val="solid"/>
              </a:ln>
            </c:spPr>
            <c:extLst>
              <c:ext xmlns:c16="http://schemas.microsoft.com/office/drawing/2014/chart" uri="{C3380CC4-5D6E-409C-BE32-E72D297353CC}">
                <c16:uniqueId val="{00000003-513C-40C9-A776-97476059CCE3}"/>
              </c:ext>
            </c:extLst>
          </c:dPt>
          <c:dPt>
            <c:idx val="2"/>
            <c:bubble3D val="0"/>
            <c:spPr>
              <a:solidFill>
                <a:srgbClr val="FFE699"/>
              </a:solidFill>
              <a:ln>
                <a:prstDash val="solid"/>
              </a:ln>
            </c:spPr>
            <c:extLst>
              <c:ext xmlns:c16="http://schemas.microsoft.com/office/drawing/2014/chart" uri="{C3380CC4-5D6E-409C-BE32-E72D297353CC}">
                <c16:uniqueId val="{00000005-513C-40C9-A776-97476059CCE3}"/>
              </c:ext>
            </c:extLst>
          </c:dPt>
          <c:dPt>
            <c:idx val="3"/>
            <c:bubble3D val="0"/>
            <c:spPr>
              <a:solidFill>
                <a:srgbClr val="A9D08E"/>
              </a:solidFill>
              <a:ln>
                <a:prstDash val="solid"/>
              </a:ln>
            </c:spPr>
            <c:extLst>
              <c:ext xmlns:c16="http://schemas.microsoft.com/office/drawing/2014/chart" uri="{C3380CC4-5D6E-409C-BE32-E72D297353CC}">
                <c16:uniqueId val="{00000007-513C-40C9-A776-97476059CCE3}"/>
              </c:ext>
            </c:extLst>
          </c:dPt>
          <c:dPt>
            <c:idx val="4"/>
            <c:bubble3D val="0"/>
            <c:spPr>
              <a:solidFill>
                <a:srgbClr val="E2EFDA"/>
              </a:solidFill>
              <a:ln>
                <a:prstDash val="solid"/>
              </a:ln>
            </c:spPr>
            <c:extLst>
              <c:ext xmlns:c16="http://schemas.microsoft.com/office/drawing/2014/chart" uri="{C3380CC4-5D6E-409C-BE32-E72D297353CC}">
                <c16:uniqueId val="{00000009-513C-40C9-A776-97476059CCE3}"/>
              </c:ext>
            </c:extLst>
          </c:dPt>
          <c:dLbls>
            <c:spPr>
              <a:noFill/>
              <a:ln>
                <a:noFill/>
              </a:ln>
              <a:effectLst/>
            </c:spPr>
            <c:showLegendKey val="0"/>
            <c:showVal val="0"/>
            <c:showCatName val="0"/>
            <c:showSerName val="0"/>
            <c:showPercent val="1"/>
            <c:showBubbleSize val="1"/>
            <c:showLeaderLines val="1"/>
            <c:extLst>
              <c:ext xmlns:c15="http://schemas.microsoft.com/office/drawing/2012/chart" uri="{CE6537A1-D6FC-4f65-9D91-7224C49458BB}"/>
            </c:extLst>
          </c:dLbls>
          <c:cat>
            <c:strRef>
              <c:f>'School Comparison'!$A$15:$A$19</c:f>
              <c:strCache>
                <c:ptCount val="5"/>
                <c:pt idx="0">
                  <c:v>Critical</c:v>
                </c:pt>
                <c:pt idx="1">
                  <c:v>High</c:v>
                </c:pt>
                <c:pt idx="2">
                  <c:v>Moderate</c:v>
                </c:pt>
                <c:pt idx="3">
                  <c:v>Low</c:v>
                </c:pt>
                <c:pt idx="4">
                  <c:v>Very Low</c:v>
                </c:pt>
              </c:strCache>
            </c:strRef>
          </c:cat>
          <c:val>
            <c:numRef>
              <c:f>'School Comparison'!$D$15:$D$19</c:f>
              <c:numCache>
                <c:formatCode>General</c:formatCode>
                <c:ptCount val="5"/>
                <c:pt idx="0">
                  <c:v>0</c:v>
                </c:pt>
                <c:pt idx="1">
                  <c:v>15</c:v>
                </c:pt>
                <c:pt idx="2">
                  <c:v>163</c:v>
                </c:pt>
                <c:pt idx="3">
                  <c:v>63</c:v>
                </c:pt>
                <c:pt idx="4">
                  <c:v>52</c:v>
                </c:pt>
              </c:numCache>
            </c:numRef>
          </c:val>
          <c:extLst>
            <c:ext xmlns:c16="http://schemas.microsoft.com/office/drawing/2014/chart" uri="{C3380CC4-5D6E-409C-BE32-E72D297353CC}">
              <c16:uniqueId val="{0000000A-513C-40C9-A776-97476059CCE3}"/>
            </c:ext>
          </c:extLst>
        </c:ser>
        <c:dLbls>
          <c:showLegendKey val="0"/>
          <c:showVal val="0"/>
          <c:showCatName val="0"/>
          <c:showSerName val="0"/>
          <c:showPercent val="1"/>
          <c:showBubbleSize val="1"/>
          <c:showLeaderLines val="1"/>
        </c:dLbls>
        <c:firstSliceAng val="0"/>
      </c:pieChart>
    </c:plotArea>
    <c:legend>
      <c:legendPos val="r"/>
      <c:overlay val="1"/>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Top 10 Perth: score without vs with mitigation</a:t>
            </a:r>
          </a:p>
        </c:rich>
      </c:tx>
      <c:overlay val="1"/>
    </c:title>
    <c:autoTitleDeleted val="0"/>
    <c:plotArea>
      <c:layout/>
      <c:barChart>
        <c:barDir val="col"/>
        <c:grouping val="clustered"/>
        <c:varyColors val="1"/>
        <c:ser>
          <c:idx val="0"/>
          <c:order val="0"/>
          <c:tx>
            <c:v>Without mitigation (inherent)</c:v>
          </c:tx>
          <c:spPr>
            <a:solidFill>
              <a:srgbClr val="F4B084"/>
            </a:solidFill>
            <a:ln>
              <a:prstDash val="solid"/>
            </a:ln>
          </c:spPr>
          <c:invertIfNegative val="1"/>
          <c:dLbls>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'Top 10 - Perth'!$D$5:$D$14</c:f>
              <c:strCache>
                <c:ptCount val="10"/>
                <c:pt idx="0">
                  <c:v>P36-C</c:v>
                </c:pt>
                <c:pt idx="1">
                  <c:v>P18-E</c:v>
                </c:pt>
                <c:pt idx="2">
                  <c:v>P05-C</c:v>
                </c:pt>
                <c:pt idx="3">
                  <c:v>P15-E</c:v>
                </c:pt>
                <c:pt idx="4">
                  <c:v>P16-A</c:v>
                </c:pt>
                <c:pt idx="5">
                  <c:v>P23-B</c:v>
                </c:pt>
                <c:pt idx="6">
                  <c:v>P29-C</c:v>
                </c:pt>
                <c:pt idx="7">
                  <c:v>P29-E</c:v>
                </c:pt>
                <c:pt idx="8">
                  <c:v>P36-B</c:v>
                </c:pt>
                <c:pt idx="9">
                  <c:v>P45-B</c:v>
                </c:pt>
              </c:strCache>
            </c:strRef>
          </c:cat>
          <c:val>
            <c:numRef>
              <c:f>'Top 10 - Perth'!$J$5:$J$14</c:f>
              <c:numCache>
                <c:formatCode>General</c:formatCode>
                <c:ptCount val="10"/>
                <c:pt idx="0">
                  <c:v>15</c:v>
                </c:pt>
                <c:pt idx="1">
                  <c:v>12</c:v>
                </c:pt>
                <c:pt idx="2">
                  <c:v>9</c:v>
                </c:pt>
                <c:pt idx="3">
                  <c:v>15</c:v>
                </c:pt>
                <c:pt idx="4">
                  <c:v>15</c:v>
                </c:pt>
                <c:pt idx="5">
                  <c:v>15</c:v>
                </c:pt>
                <c:pt idx="6">
                  <c:v>15</c:v>
                </c:pt>
                <c:pt idx="7">
                  <c:v>10</c:v>
                </c:pt>
                <c:pt idx="8">
                  <c:v>10</c:v>
                </c:pt>
                <c:pt idx="9">
                  <c:v>16</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97F3-4044-95AC-C795EF1DF59D}"/>
            </c:ext>
          </c:extLst>
        </c:ser>
        <c:ser>
          <c:idx val="1"/>
          <c:order val="1"/>
          <c:tx>
            <c:v>With mitigation (residual)</c:v>
          </c:tx>
          <c:spPr>
            <a:solidFill>
              <a:srgbClr val="1F3864"/>
            </a:solidFill>
            <a:ln>
              <a:prstDash val="solid"/>
            </a:ln>
          </c:spPr>
          <c:invertIfNegative val="1"/>
          <c:dLbls>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'Top 10 - Perth'!$D$5:$D$14</c:f>
              <c:strCache>
                <c:ptCount val="10"/>
                <c:pt idx="0">
                  <c:v>P36-C</c:v>
                </c:pt>
                <c:pt idx="1">
                  <c:v>P18-E</c:v>
                </c:pt>
                <c:pt idx="2">
                  <c:v>P05-C</c:v>
                </c:pt>
                <c:pt idx="3">
                  <c:v>P15-E</c:v>
                </c:pt>
                <c:pt idx="4">
                  <c:v>P16-A</c:v>
                </c:pt>
                <c:pt idx="5">
                  <c:v>P23-B</c:v>
                </c:pt>
                <c:pt idx="6">
                  <c:v>P29-C</c:v>
                </c:pt>
                <c:pt idx="7">
                  <c:v>P29-E</c:v>
                </c:pt>
                <c:pt idx="8">
                  <c:v>P36-B</c:v>
                </c:pt>
                <c:pt idx="9">
                  <c:v>P45-B</c:v>
                </c:pt>
              </c:strCache>
            </c:strRef>
          </c:cat>
          <c:val>
            <c:numRef>
              <c:f>'Top 10 - Perth'!$O$5:$O$14</c:f>
              <c:numCache>
                <c:formatCode>General</c:formatCode>
                <c:ptCount val="10"/>
                <c:pt idx="0">
                  <c:v>12</c:v>
                </c:pt>
                <c:pt idx="1">
                  <c:v>12</c:v>
                </c:pt>
                <c:pt idx="2">
                  <c:v>12</c:v>
                </c:pt>
                <c:pt idx="3">
                  <c:v>10</c:v>
                </c:pt>
                <c:pt idx="4">
                  <c:v>10</c:v>
                </c:pt>
                <c:pt idx="5">
                  <c:v>10</c:v>
                </c:pt>
                <c:pt idx="6">
                  <c:v>10</c:v>
                </c:pt>
                <c:pt idx="7">
                  <c:v>10</c:v>
                </c:pt>
                <c:pt idx="8">
                  <c:v>10</c:v>
                </c:pt>
                <c:pt idx="9">
                  <c:v>9</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97F3-4044-95AC-C795EF1DF59D}"/>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en-US"/>
                  <a:t>Risk ID</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max val="25"/>
          <c:min val="0"/>
        </c:scaling>
        <c:delete val="0"/>
        <c:axPos val="l"/>
        <c:majorGridlines/>
        <c:title>
          <c:tx>
            <c:rich>
              <a:bodyPr/>
              <a:lstStyle/>
              <a:p>
                <a:pPr>
                  <a:defRPr/>
                </a:pPr>
                <a:r>
                  <a:rPr lang="en-US"/>
                  <a:t>Risk score (C x L)</a:t>
                </a:r>
              </a:p>
            </c:rich>
          </c:tx>
          <c:overlay val="1"/>
        </c:title>
        <c:numFmt formatCode="General" sourceLinked="1"/>
        <c:majorTickMark val="none"/>
        <c:minorTickMark val="none"/>
        <c:tickLblPos val="nextTo"/>
        <c:crossAx val="10"/>
        <c:crosses val="autoZero"/>
        <c:crossBetween val="between"/>
        <c:majorUnit val="5"/>
      </c:valAx>
    </c:plotArea>
    <c:legend>
      <c:legendPos val="b"/>
      <c:overlay val="1"/>
    </c:legend>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Perth: all hazards by rating without mitigation (inherent)</a:t>
            </a:r>
          </a:p>
        </c:rich>
      </c:tx>
      <c:overlay val="1"/>
    </c:title>
    <c:autoTitleDeleted val="0"/>
    <c:plotArea>
      <c:layout/>
      <c:pieChart>
        <c:varyColors val="1"/>
        <c:ser>
          <c:idx val="0"/>
          <c:order val="0"/>
          <c:tx>
            <c:v>Hazards</c:v>
          </c:tx>
          <c:spPr>
            <a:ln>
              <a:prstDash val="solid"/>
            </a:ln>
          </c:spPr>
          <c:dPt>
            <c:idx val="0"/>
            <c:bubble3D val="0"/>
            <c:spPr>
              <a:solidFill>
                <a:srgbClr val="C00000"/>
              </a:solidFill>
              <a:ln>
                <a:prstDash val="solid"/>
              </a:ln>
            </c:spPr>
            <c:extLst>
              <c:ext xmlns:c16="http://schemas.microsoft.com/office/drawing/2014/chart" uri="{C3380CC4-5D6E-409C-BE32-E72D297353CC}">
                <c16:uniqueId val="{00000001-D23C-42FD-BB05-7A9BB0782799}"/>
              </c:ext>
            </c:extLst>
          </c:dPt>
          <c:dPt>
            <c:idx val="1"/>
            <c:bubble3D val="0"/>
            <c:spPr>
              <a:solidFill>
                <a:srgbClr val="F4B084"/>
              </a:solidFill>
              <a:ln>
                <a:prstDash val="solid"/>
              </a:ln>
            </c:spPr>
            <c:extLst>
              <c:ext xmlns:c16="http://schemas.microsoft.com/office/drawing/2014/chart" uri="{C3380CC4-5D6E-409C-BE32-E72D297353CC}">
                <c16:uniqueId val="{00000003-D23C-42FD-BB05-7A9BB0782799}"/>
              </c:ext>
            </c:extLst>
          </c:dPt>
          <c:dPt>
            <c:idx val="2"/>
            <c:bubble3D val="0"/>
            <c:spPr>
              <a:solidFill>
                <a:srgbClr val="FFE699"/>
              </a:solidFill>
              <a:ln>
                <a:prstDash val="solid"/>
              </a:ln>
            </c:spPr>
            <c:extLst>
              <c:ext xmlns:c16="http://schemas.microsoft.com/office/drawing/2014/chart" uri="{C3380CC4-5D6E-409C-BE32-E72D297353CC}">
                <c16:uniqueId val="{00000005-D23C-42FD-BB05-7A9BB0782799}"/>
              </c:ext>
            </c:extLst>
          </c:dPt>
          <c:dPt>
            <c:idx val="3"/>
            <c:bubble3D val="0"/>
            <c:spPr>
              <a:solidFill>
                <a:srgbClr val="A9D08E"/>
              </a:solidFill>
              <a:ln>
                <a:prstDash val="solid"/>
              </a:ln>
            </c:spPr>
            <c:extLst>
              <c:ext xmlns:c16="http://schemas.microsoft.com/office/drawing/2014/chart" uri="{C3380CC4-5D6E-409C-BE32-E72D297353CC}">
                <c16:uniqueId val="{00000007-D23C-42FD-BB05-7A9BB0782799}"/>
              </c:ext>
            </c:extLst>
          </c:dPt>
          <c:dPt>
            <c:idx val="4"/>
            <c:bubble3D val="0"/>
            <c:spPr>
              <a:solidFill>
                <a:srgbClr val="E2EFDA"/>
              </a:solidFill>
              <a:ln>
                <a:prstDash val="solid"/>
              </a:ln>
            </c:spPr>
            <c:extLst>
              <c:ext xmlns:c16="http://schemas.microsoft.com/office/drawing/2014/chart" uri="{C3380CC4-5D6E-409C-BE32-E72D297353CC}">
                <c16:uniqueId val="{00000009-D23C-42FD-BB05-7A9BB0782799}"/>
              </c:ext>
            </c:extLst>
          </c:dPt>
          <c:dLbls>
            <c:spPr>
              <a:noFill/>
              <a:ln>
                <a:noFill/>
              </a:ln>
              <a:effectLst/>
            </c:spPr>
            <c:showLegendKey val="0"/>
            <c:showVal val="0"/>
            <c:showCatName val="0"/>
            <c:showSerName val="0"/>
            <c:showPercent val="1"/>
            <c:showBubbleSize val="1"/>
            <c:showLeaderLines val="1"/>
            <c:extLst>
              <c:ext xmlns:c15="http://schemas.microsoft.com/office/drawing/2012/chart" uri="{CE6537A1-D6FC-4f65-9D91-7224C49458BB}"/>
            </c:extLst>
          </c:dLbls>
          <c:cat>
            <c:strRef>
              <c:f>'School Comparison'!$A$6:$A$10</c:f>
              <c:strCache>
                <c:ptCount val="5"/>
                <c:pt idx="0">
                  <c:v>Critical</c:v>
                </c:pt>
                <c:pt idx="1">
                  <c:v>High</c:v>
                </c:pt>
                <c:pt idx="2">
                  <c:v>Moderate</c:v>
                </c:pt>
                <c:pt idx="3">
                  <c:v>Low</c:v>
                </c:pt>
                <c:pt idx="4">
                  <c:v>Very Low</c:v>
                </c:pt>
              </c:strCache>
            </c:strRef>
          </c:cat>
          <c:val>
            <c:numRef>
              <c:f>'School Comparison'!$B$6:$B$10</c:f>
              <c:numCache>
                <c:formatCode>General</c:formatCode>
                <c:ptCount val="5"/>
                <c:pt idx="0">
                  <c:v>2</c:v>
                </c:pt>
                <c:pt idx="1">
                  <c:v>55</c:v>
                </c:pt>
                <c:pt idx="2">
                  <c:v>75</c:v>
                </c:pt>
                <c:pt idx="3">
                  <c:v>7</c:v>
                </c:pt>
                <c:pt idx="4">
                  <c:v>22</c:v>
                </c:pt>
              </c:numCache>
            </c:numRef>
          </c:val>
          <c:extLst>
            <c:ext xmlns:c16="http://schemas.microsoft.com/office/drawing/2014/chart" uri="{C3380CC4-5D6E-409C-BE32-E72D297353CC}">
              <c16:uniqueId val="{0000000A-D23C-42FD-BB05-7A9BB0782799}"/>
            </c:ext>
          </c:extLst>
        </c:ser>
        <c:dLbls>
          <c:showLegendKey val="0"/>
          <c:showVal val="0"/>
          <c:showCatName val="0"/>
          <c:showSerName val="0"/>
          <c:showPercent val="1"/>
          <c:showBubbleSize val="1"/>
          <c:showLeaderLines val="1"/>
        </c:dLbls>
        <c:firstSliceAng val="0"/>
      </c:pieChart>
    </c:plotArea>
    <c:legend>
      <c:legendPos val="r"/>
      <c:overlay val="1"/>
    </c:legend>
    <c:plotVisOnly val="1"/>
    <c:dispBlanksAs val="gap"/>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Perth: all hazards by rating with mitigation (residual)</a:t>
            </a:r>
          </a:p>
        </c:rich>
      </c:tx>
      <c:overlay val="1"/>
    </c:title>
    <c:autoTitleDeleted val="0"/>
    <c:plotArea>
      <c:layout/>
      <c:pieChart>
        <c:varyColors val="1"/>
        <c:ser>
          <c:idx val="0"/>
          <c:order val="0"/>
          <c:tx>
            <c:v>Hazards</c:v>
          </c:tx>
          <c:spPr>
            <a:ln>
              <a:prstDash val="solid"/>
            </a:ln>
          </c:spPr>
          <c:dPt>
            <c:idx val="0"/>
            <c:bubble3D val="0"/>
            <c:spPr>
              <a:solidFill>
                <a:srgbClr val="C00000"/>
              </a:solidFill>
              <a:ln>
                <a:prstDash val="solid"/>
              </a:ln>
            </c:spPr>
            <c:extLst>
              <c:ext xmlns:c16="http://schemas.microsoft.com/office/drawing/2014/chart" uri="{C3380CC4-5D6E-409C-BE32-E72D297353CC}">
                <c16:uniqueId val="{00000001-7129-4B34-9945-BDA3B1DFA8EE}"/>
              </c:ext>
            </c:extLst>
          </c:dPt>
          <c:dPt>
            <c:idx val="1"/>
            <c:bubble3D val="0"/>
            <c:spPr>
              <a:solidFill>
                <a:srgbClr val="F4B084"/>
              </a:solidFill>
              <a:ln>
                <a:prstDash val="solid"/>
              </a:ln>
            </c:spPr>
            <c:extLst>
              <c:ext xmlns:c16="http://schemas.microsoft.com/office/drawing/2014/chart" uri="{C3380CC4-5D6E-409C-BE32-E72D297353CC}">
                <c16:uniqueId val="{00000003-7129-4B34-9945-BDA3B1DFA8EE}"/>
              </c:ext>
            </c:extLst>
          </c:dPt>
          <c:dPt>
            <c:idx val="2"/>
            <c:bubble3D val="0"/>
            <c:spPr>
              <a:solidFill>
                <a:srgbClr val="FFE699"/>
              </a:solidFill>
              <a:ln>
                <a:prstDash val="solid"/>
              </a:ln>
            </c:spPr>
            <c:extLst>
              <c:ext xmlns:c16="http://schemas.microsoft.com/office/drawing/2014/chart" uri="{C3380CC4-5D6E-409C-BE32-E72D297353CC}">
                <c16:uniqueId val="{00000005-7129-4B34-9945-BDA3B1DFA8EE}"/>
              </c:ext>
            </c:extLst>
          </c:dPt>
          <c:dPt>
            <c:idx val="3"/>
            <c:bubble3D val="0"/>
            <c:spPr>
              <a:solidFill>
                <a:srgbClr val="A9D08E"/>
              </a:solidFill>
              <a:ln>
                <a:prstDash val="solid"/>
              </a:ln>
            </c:spPr>
            <c:extLst>
              <c:ext xmlns:c16="http://schemas.microsoft.com/office/drawing/2014/chart" uri="{C3380CC4-5D6E-409C-BE32-E72D297353CC}">
                <c16:uniqueId val="{00000007-7129-4B34-9945-BDA3B1DFA8EE}"/>
              </c:ext>
            </c:extLst>
          </c:dPt>
          <c:dPt>
            <c:idx val="4"/>
            <c:bubble3D val="0"/>
            <c:spPr>
              <a:solidFill>
                <a:srgbClr val="E2EFDA"/>
              </a:solidFill>
              <a:ln>
                <a:prstDash val="solid"/>
              </a:ln>
            </c:spPr>
            <c:extLst>
              <c:ext xmlns:c16="http://schemas.microsoft.com/office/drawing/2014/chart" uri="{C3380CC4-5D6E-409C-BE32-E72D297353CC}">
                <c16:uniqueId val="{00000009-7129-4B34-9945-BDA3B1DFA8EE}"/>
              </c:ext>
            </c:extLst>
          </c:dPt>
          <c:dLbls>
            <c:spPr>
              <a:noFill/>
              <a:ln>
                <a:noFill/>
              </a:ln>
              <a:effectLst/>
            </c:spPr>
            <c:showLegendKey val="0"/>
            <c:showVal val="0"/>
            <c:showCatName val="0"/>
            <c:showSerName val="0"/>
            <c:showPercent val="1"/>
            <c:showBubbleSize val="1"/>
            <c:showLeaderLines val="1"/>
            <c:extLst>
              <c:ext xmlns:c15="http://schemas.microsoft.com/office/drawing/2012/chart" uri="{CE6537A1-D6FC-4f65-9D91-7224C49458BB}"/>
            </c:extLst>
          </c:dLbls>
          <c:cat>
            <c:strRef>
              <c:f>'School Comparison'!$A$15:$A$19</c:f>
              <c:strCache>
                <c:ptCount val="5"/>
                <c:pt idx="0">
                  <c:v>Critical</c:v>
                </c:pt>
                <c:pt idx="1">
                  <c:v>High</c:v>
                </c:pt>
                <c:pt idx="2">
                  <c:v>Moderate</c:v>
                </c:pt>
                <c:pt idx="3">
                  <c:v>Low</c:v>
                </c:pt>
                <c:pt idx="4">
                  <c:v>Very Low</c:v>
                </c:pt>
              </c:strCache>
            </c:strRef>
          </c:cat>
          <c:val>
            <c:numRef>
              <c:f>'School Comparison'!$B$15:$B$19</c:f>
              <c:numCache>
                <c:formatCode>General</c:formatCode>
                <c:ptCount val="5"/>
                <c:pt idx="0">
                  <c:v>0</c:v>
                </c:pt>
                <c:pt idx="1">
                  <c:v>8</c:v>
                </c:pt>
                <c:pt idx="2">
                  <c:v>88</c:v>
                </c:pt>
                <c:pt idx="3">
                  <c:v>32</c:v>
                </c:pt>
                <c:pt idx="4">
                  <c:v>33</c:v>
                </c:pt>
              </c:numCache>
            </c:numRef>
          </c:val>
          <c:extLst>
            <c:ext xmlns:c16="http://schemas.microsoft.com/office/drawing/2014/chart" uri="{C3380CC4-5D6E-409C-BE32-E72D297353CC}">
              <c16:uniqueId val="{0000000A-7129-4B34-9945-BDA3B1DFA8EE}"/>
            </c:ext>
          </c:extLst>
        </c:ser>
        <c:dLbls>
          <c:showLegendKey val="0"/>
          <c:showVal val="0"/>
          <c:showCatName val="0"/>
          <c:showSerName val="0"/>
          <c:showPercent val="1"/>
          <c:showBubbleSize val="1"/>
          <c:showLeaderLines val="1"/>
        </c:dLbls>
        <c:firstSliceAng val="0"/>
      </c:pieChart>
    </c:plotArea>
    <c:legend>
      <c:legendPos val="r"/>
      <c:overlay val="1"/>
    </c:legend>
    <c:plotVisOnly val="1"/>
    <c:dispBlanksAs val="gap"/>
    <c:showDLblsOverMax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Top 10 Fremantle: score without vs with mitigation</a:t>
            </a:r>
          </a:p>
        </c:rich>
      </c:tx>
      <c:overlay val="1"/>
    </c:title>
    <c:autoTitleDeleted val="0"/>
    <c:plotArea>
      <c:layout/>
      <c:barChart>
        <c:barDir val="col"/>
        <c:grouping val="clustered"/>
        <c:varyColors val="1"/>
        <c:ser>
          <c:idx val="0"/>
          <c:order val="0"/>
          <c:tx>
            <c:v>Without mitigation (inherent)</c:v>
          </c:tx>
          <c:spPr>
            <a:solidFill>
              <a:srgbClr val="F4B084"/>
            </a:solidFill>
            <a:ln>
              <a:prstDash val="solid"/>
            </a:ln>
          </c:spPr>
          <c:invertIfNegative val="1"/>
          <c:dLbls>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'Top 10 - Fremantle'!$D$5:$D$14</c:f>
              <c:strCache>
                <c:ptCount val="10"/>
                <c:pt idx="0">
                  <c:v>F01-A</c:v>
                </c:pt>
                <c:pt idx="1">
                  <c:v>F03-C</c:v>
                </c:pt>
                <c:pt idx="2">
                  <c:v>F09-A</c:v>
                </c:pt>
                <c:pt idx="3">
                  <c:v>F24-B</c:v>
                </c:pt>
                <c:pt idx="4">
                  <c:v>F28-C</c:v>
                </c:pt>
                <c:pt idx="5">
                  <c:v>F31-B</c:v>
                </c:pt>
                <c:pt idx="6">
                  <c:v>F28-E</c:v>
                </c:pt>
                <c:pt idx="7">
                  <c:v>F02-C</c:v>
                </c:pt>
                <c:pt idx="8">
                  <c:v>F38-B</c:v>
                </c:pt>
                <c:pt idx="9">
                  <c:v>F18-C</c:v>
                </c:pt>
              </c:strCache>
            </c:strRef>
          </c:cat>
          <c:val>
            <c:numRef>
              <c:f>'Top 10 - Fremantle'!$J$5:$J$14</c:f>
              <c:numCache>
                <c:formatCode>General</c:formatCode>
                <c:ptCount val="10"/>
                <c:pt idx="0">
                  <c:v>12</c:v>
                </c:pt>
                <c:pt idx="1">
                  <c:v>9</c:v>
                </c:pt>
                <c:pt idx="2">
                  <c:v>15</c:v>
                </c:pt>
                <c:pt idx="3">
                  <c:v>15</c:v>
                </c:pt>
                <c:pt idx="4">
                  <c:v>15</c:v>
                </c:pt>
                <c:pt idx="5">
                  <c:v>15</c:v>
                </c:pt>
                <c:pt idx="6">
                  <c:v>10</c:v>
                </c:pt>
                <c:pt idx="7">
                  <c:v>16</c:v>
                </c:pt>
                <c:pt idx="8">
                  <c:v>16</c:v>
                </c:pt>
                <c:pt idx="9">
                  <c:v>15</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EFD3-4A70-9B70-B320FBA5302C}"/>
            </c:ext>
          </c:extLst>
        </c:ser>
        <c:ser>
          <c:idx val="1"/>
          <c:order val="1"/>
          <c:tx>
            <c:v>With mitigation (residual)</c:v>
          </c:tx>
          <c:spPr>
            <a:solidFill>
              <a:srgbClr val="1F3864"/>
            </a:solidFill>
            <a:ln>
              <a:prstDash val="solid"/>
            </a:ln>
          </c:spPr>
          <c:invertIfNegative val="1"/>
          <c:dLbls>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'Top 10 - Fremantle'!$D$5:$D$14</c:f>
              <c:strCache>
                <c:ptCount val="10"/>
                <c:pt idx="0">
                  <c:v>F01-A</c:v>
                </c:pt>
                <c:pt idx="1">
                  <c:v>F03-C</c:v>
                </c:pt>
                <c:pt idx="2">
                  <c:v>F09-A</c:v>
                </c:pt>
                <c:pt idx="3">
                  <c:v>F24-B</c:v>
                </c:pt>
                <c:pt idx="4">
                  <c:v>F28-C</c:v>
                </c:pt>
                <c:pt idx="5">
                  <c:v>F31-B</c:v>
                </c:pt>
                <c:pt idx="6">
                  <c:v>F28-E</c:v>
                </c:pt>
                <c:pt idx="7">
                  <c:v>F02-C</c:v>
                </c:pt>
                <c:pt idx="8">
                  <c:v>F38-B</c:v>
                </c:pt>
                <c:pt idx="9">
                  <c:v>F18-C</c:v>
                </c:pt>
              </c:strCache>
            </c:strRef>
          </c:cat>
          <c:val>
            <c:numRef>
              <c:f>'Top 10 - Fremantle'!$O$5:$O$14</c:f>
              <c:numCache>
                <c:formatCode>General</c:formatCode>
                <c:ptCount val="10"/>
                <c:pt idx="0">
                  <c:v>12</c:v>
                </c:pt>
                <c:pt idx="1">
                  <c:v>12</c:v>
                </c:pt>
                <c:pt idx="2">
                  <c:v>10</c:v>
                </c:pt>
                <c:pt idx="3">
                  <c:v>10</c:v>
                </c:pt>
                <c:pt idx="4">
                  <c:v>10</c:v>
                </c:pt>
                <c:pt idx="5">
                  <c:v>10</c:v>
                </c:pt>
                <c:pt idx="6">
                  <c:v>10</c:v>
                </c:pt>
                <c:pt idx="7">
                  <c:v>9</c:v>
                </c:pt>
                <c:pt idx="8">
                  <c:v>9</c:v>
                </c:pt>
                <c:pt idx="9">
                  <c:v>9</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EFD3-4A70-9B70-B320FBA5302C}"/>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en-US"/>
                  <a:t>Risk ID</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max val="25"/>
          <c:min val="0"/>
        </c:scaling>
        <c:delete val="0"/>
        <c:axPos val="l"/>
        <c:majorGridlines/>
        <c:title>
          <c:tx>
            <c:rich>
              <a:bodyPr/>
              <a:lstStyle/>
              <a:p>
                <a:pPr>
                  <a:defRPr/>
                </a:pPr>
                <a:r>
                  <a:rPr lang="en-US"/>
                  <a:t>Risk score (C x L)</a:t>
                </a:r>
              </a:p>
            </c:rich>
          </c:tx>
          <c:overlay val="1"/>
        </c:title>
        <c:numFmt formatCode="General" sourceLinked="1"/>
        <c:majorTickMark val="none"/>
        <c:minorTickMark val="none"/>
        <c:tickLblPos val="nextTo"/>
        <c:crossAx val="10"/>
        <c:crosses val="autoZero"/>
        <c:crossBetween val="between"/>
        <c:majorUnit val="5"/>
      </c:valAx>
    </c:plotArea>
    <c:legend>
      <c:legendPos val="b"/>
      <c:overlay val="1"/>
    </c:legend>
    <c:plotVisOnly val="1"/>
    <c:dispBlanksAs val="gap"/>
    <c:showDLblsOverMax val="1"/>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Fremantle: all hazards by rating without mitigation (inherent)</a:t>
            </a:r>
          </a:p>
        </c:rich>
      </c:tx>
      <c:overlay val="1"/>
    </c:title>
    <c:autoTitleDeleted val="0"/>
    <c:plotArea>
      <c:layout/>
      <c:pieChart>
        <c:varyColors val="1"/>
        <c:ser>
          <c:idx val="0"/>
          <c:order val="0"/>
          <c:tx>
            <c:v>Hazards</c:v>
          </c:tx>
          <c:spPr>
            <a:ln>
              <a:prstDash val="solid"/>
            </a:ln>
          </c:spPr>
          <c:dPt>
            <c:idx val="0"/>
            <c:bubble3D val="0"/>
            <c:spPr>
              <a:solidFill>
                <a:srgbClr val="C00000"/>
              </a:solidFill>
              <a:ln>
                <a:prstDash val="solid"/>
              </a:ln>
            </c:spPr>
            <c:extLst>
              <c:ext xmlns:c16="http://schemas.microsoft.com/office/drawing/2014/chart" uri="{C3380CC4-5D6E-409C-BE32-E72D297353CC}">
                <c16:uniqueId val="{00000001-E860-4833-BFA2-19B062AA21D3}"/>
              </c:ext>
            </c:extLst>
          </c:dPt>
          <c:dPt>
            <c:idx val="1"/>
            <c:bubble3D val="0"/>
            <c:spPr>
              <a:solidFill>
                <a:srgbClr val="F4B084"/>
              </a:solidFill>
              <a:ln>
                <a:prstDash val="solid"/>
              </a:ln>
            </c:spPr>
            <c:extLst>
              <c:ext xmlns:c16="http://schemas.microsoft.com/office/drawing/2014/chart" uri="{C3380CC4-5D6E-409C-BE32-E72D297353CC}">
                <c16:uniqueId val="{00000003-E860-4833-BFA2-19B062AA21D3}"/>
              </c:ext>
            </c:extLst>
          </c:dPt>
          <c:dPt>
            <c:idx val="2"/>
            <c:bubble3D val="0"/>
            <c:spPr>
              <a:solidFill>
                <a:srgbClr val="FFE699"/>
              </a:solidFill>
              <a:ln>
                <a:prstDash val="solid"/>
              </a:ln>
            </c:spPr>
            <c:extLst>
              <c:ext xmlns:c16="http://schemas.microsoft.com/office/drawing/2014/chart" uri="{C3380CC4-5D6E-409C-BE32-E72D297353CC}">
                <c16:uniqueId val="{00000005-E860-4833-BFA2-19B062AA21D3}"/>
              </c:ext>
            </c:extLst>
          </c:dPt>
          <c:dPt>
            <c:idx val="3"/>
            <c:bubble3D val="0"/>
            <c:spPr>
              <a:solidFill>
                <a:srgbClr val="A9D08E"/>
              </a:solidFill>
              <a:ln>
                <a:prstDash val="solid"/>
              </a:ln>
            </c:spPr>
            <c:extLst>
              <c:ext xmlns:c16="http://schemas.microsoft.com/office/drawing/2014/chart" uri="{C3380CC4-5D6E-409C-BE32-E72D297353CC}">
                <c16:uniqueId val="{00000007-E860-4833-BFA2-19B062AA21D3}"/>
              </c:ext>
            </c:extLst>
          </c:dPt>
          <c:dPt>
            <c:idx val="4"/>
            <c:bubble3D val="0"/>
            <c:spPr>
              <a:solidFill>
                <a:srgbClr val="E2EFDA"/>
              </a:solidFill>
              <a:ln>
                <a:prstDash val="solid"/>
              </a:ln>
            </c:spPr>
            <c:extLst>
              <c:ext xmlns:c16="http://schemas.microsoft.com/office/drawing/2014/chart" uri="{C3380CC4-5D6E-409C-BE32-E72D297353CC}">
                <c16:uniqueId val="{00000009-E860-4833-BFA2-19B062AA21D3}"/>
              </c:ext>
            </c:extLst>
          </c:dPt>
          <c:dLbls>
            <c:spPr>
              <a:noFill/>
              <a:ln>
                <a:noFill/>
              </a:ln>
              <a:effectLst/>
            </c:spPr>
            <c:showLegendKey val="0"/>
            <c:showVal val="0"/>
            <c:showCatName val="0"/>
            <c:showSerName val="0"/>
            <c:showPercent val="1"/>
            <c:showBubbleSize val="1"/>
            <c:showLeaderLines val="1"/>
            <c:extLst>
              <c:ext xmlns:c15="http://schemas.microsoft.com/office/drawing/2012/chart" uri="{CE6537A1-D6FC-4f65-9D91-7224C49458BB}"/>
            </c:extLst>
          </c:dLbls>
          <c:cat>
            <c:strRef>
              <c:f>'School Comparison'!$A$6:$A$10</c:f>
              <c:strCache>
                <c:ptCount val="5"/>
                <c:pt idx="0">
                  <c:v>Critical</c:v>
                </c:pt>
                <c:pt idx="1">
                  <c:v>High</c:v>
                </c:pt>
                <c:pt idx="2">
                  <c:v>Moderate</c:v>
                </c:pt>
                <c:pt idx="3">
                  <c:v>Low</c:v>
                </c:pt>
                <c:pt idx="4">
                  <c:v>Very Low</c:v>
                </c:pt>
              </c:strCache>
            </c:strRef>
          </c:cat>
          <c:val>
            <c:numRef>
              <c:f>'School Comparison'!$C$6:$C$10</c:f>
              <c:numCache>
                <c:formatCode>General</c:formatCode>
                <c:ptCount val="5"/>
                <c:pt idx="0">
                  <c:v>2</c:v>
                </c:pt>
                <c:pt idx="1">
                  <c:v>65</c:v>
                </c:pt>
                <c:pt idx="2">
                  <c:v>56</c:v>
                </c:pt>
                <c:pt idx="3">
                  <c:v>5</c:v>
                </c:pt>
                <c:pt idx="4">
                  <c:v>4</c:v>
                </c:pt>
              </c:numCache>
            </c:numRef>
          </c:val>
          <c:extLst>
            <c:ext xmlns:c16="http://schemas.microsoft.com/office/drawing/2014/chart" uri="{C3380CC4-5D6E-409C-BE32-E72D297353CC}">
              <c16:uniqueId val="{0000000A-E860-4833-BFA2-19B062AA21D3}"/>
            </c:ext>
          </c:extLst>
        </c:ser>
        <c:dLbls>
          <c:showLegendKey val="0"/>
          <c:showVal val="0"/>
          <c:showCatName val="0"/>
          <c:showSerName val="0"/>
          <c:showPercent val="1"/>
          <c:showBubbleSize val="1"/>
          <c:showLeaderLines val="1"/>
        </c:dLbls>
        <c:firstSliceAng val="0"/>
      </c:pieChart>
    </c:plotArea>
    <c:legend>
      <c:legendPos val="r"/>
      <c:overlay val="1"/>
    </c:legend>
    <c:plotVisOnly val="1"/>
    <c:dispBlanksAs val="gap"/>
    <c:showDLblsOverMax val="1"/>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Fremantle: all hazards by rating with mitigation (residual)</a:t>
            </a:r>
          </a:p>
        </c:rich>
      </c:tx>
      <c:overlay val="1"/>
    </c:title>
    <c:autoTitleDeleted val="0"/>
    <c:plotArea>
      <c:layout/>
      <c:pieChart>
        <c:varyColors val="1"/>
        <c:ser>
          <c:idx val="0"/>
          <c:order val="0"/>
          <c:tx>
            <c:v>Hazards</c:v>
          </c:tx>
          <c:spPr>
            <a:ln>
              <a:prstDash val="solid"/>
            </a:ln>
          </c:spPr>
          <c:dPt>
            <c:idx val="0"/>
            <c:bubble3D val="0"/>
            <c:spPr>
              <a:solidFill>
                <a:srgbClr val="C00000"/>
              </a:solidFill>
              <a:ln>
                <a:prstDash val="solid"/>
              </a:ln>
            </c:spPr>
            <c:extLst>
              <c:ext xmlns:c16="http://schemas.microsoft.com/office/drawing/2014/chart" uri="{C3380CC4-5D6E-409C-BE32-E72D297353CC}">
                <c16:uniqueId val="{00000001-5E4C-4E21-8479-4F20B9F250B3}"/>
              </c:ext>
            </c:extLst>
          </c:dPt>
          <c:dPt>
            <c:idx val="1"/>
            <c:bubble3D val="0"/>
            <c:spPr>
              <a:solidFill>
                <a:srgbClr val="F4B084"/>
              </a:solidFill>
              <a:ln>
                <a:prstDash val="solid"/>
              </a:ln>
            </c:spPr>
            <c:extLst>
              <c:ext xmlns:c16="http://schemas.microsoft.com/office/drawing/2014/chart" uri="{C3380CC4-5D6E-409C-BE32-E72D297353CC}">
                <c16:uniqueId val="{00000003-5E4C-4E21-8479-4F20B9F250B3}"/>
              </c:ext>
            </c:extLst>
          </c:dPt>
          <c:dPt>
            <c:idx val="2"/>
            <c:bubble3D val="0"/>
            <c:spPr>
              <a:solidFill>
                <a:srgbClr val="FFE699"/>
              </a:solidFill>
              <a:ln>
                <a:prstDash val="solid"/>
              </a:ln>
            </c:spPr>
            <c:extLst>
              <c:ext xmlns:c16="http://schemas.microsoft.com/office/drawing/2014/chart" uri="{C3380CC4-5D6E-409C-BE32-E72D297353CC}">
                <c16:uniqueId val="{00000005-5E4C-4E21-8479-4F20B9F250B3}"/>
              </c:ext>
            </c:extLst>
          </c:dPt>
          <c:dPt>
            <c:idx val="3"/>
            <c:bubble3D val="0"/>
            <c:spPr>
              <a:solidFill>
                <a:srgbClr val="A9D08E"/>
              </a:solidFill>
              <a:ln>
                <a:prstDash val="solid"/>
              </a:ln>
            </c:spPr>
            <c:extLst>
              <c:ext xmlns:c16="http://schemas.microsoft.com/office/drawing/2014/chart" uri="{C3380CC4-5D6E-409C-BE32-E72D297353CC}">
                <c16:uniqueId val="{00000007-5E4C-4E21-8479-4F20B9F250B3}"/>
              </c:ext>
            </c:extLst>
          </c:dPt>
          <c:dPt>
            <c:idx val="4"/>
            <c:bubble3D val="0"/>
            <c:spPr>
              <a:solidFill>
                <a:srgbClr val="E2EFDA"/>
              </a:solidFill>
              <a:ln>
                <a:prstDash val="solid"/>
              </a:ln>
            </c:spPr>
            <c:extLst>
              <c:ext xmlns:c16="http://schemas.microsoft.com/office/drawing/2014/chart" uri="{C3380CC4-5D6E-409C-BE32-E72D297353CC}">
                <c16:uniqueId val="{00000009-5E4C-4E21-8479-4F20B9F250B3}"/>
              </c:ext>
            </c:extLst>
          </c:dPt>
          <c:dLbls>
            <c:spPr>
              <a:noFill/>
              <a:ln>
                <a:noFill/>
              </a:ln>
              <a:effectLst/>
            </c:spPr>
            <c:showLegendKey val="0"/>
            <c:showVal val="0"/>
            <c:showCatName val="0"/>
            <c:showSerName val="0"/>
            <c:showPercent val="1"/>
            <c:showBubbleSize val="1"/>
            <c:showLeaderLines val="1"/>
            <c:extLst>
              <c:ext xmlns:c15="http://schemas.microsoft.com/office/drawing/2012/chart" uri="{CE6537A1-D6FC-4f65-9D91-7224C49458BB}"/>
            </c:extLst>
          </c:dLbls>
          <c:cat>
            <c:strRef>
              <c:f>'School Comparison'!$A$15:$A$19</c:f>
              <c:strCache>
                <c:ptCount val="5"/>
                <c:pt idx="0">
                  <c:v>Critical</c:v>
                </c:pt>
                <c:pt idx="1">
                  <c:v>High</c:v>
                </c:pt>
                <c:pt idx="2">
                  <c:v>Moderate</c:v>
                </c:pt>
                <c:pt idx="3">
                  <c:v>Low</c:v>
                </c:pt>
                <c:pt idx="4">
                  <c:v>Very Low</c:v>
                </c:pt>
              </c:strCache>
            </c:strRef>
          </c:cat>
          <c:val>
            <c:numRef>
              <c:f>'School Comparison'!$C$15:$C$19</c:f>
              <c:numCache>
                <c:formatCode>General</c:formatCode>
                <c:ptCount val="5"/>
                <c:pt idx="0">
                  <c:v>0</c:v>
                </c:pt>
                <c:pt idx="1">
                  <c:v>7</c:v>
                </c:pt>
                <c:pt idx="2">
                  <c:v>75</c:v>
                </c:pt>
                <c:pt idx="3">
                  <c:v>31</c:v>
                </c:pt>
                <c:pt idx="4">
                  <c:v>19</c:v>
                </c:pt>
              </c:numCache>
            </c:numRef>
          </c:val>
          <c:extLst>
            <c:ext xmlns:c16="http://schemas.microsoft.com/office/drawing/2014/chart" uri="{C3380CC4-5D6E-409C-BE32-E72D297353CC}">
              <c16:uniqueId val="{0000000A-5E4C-4E21-8479-4F20B9F250B3}"/>
            </c:ext>
          </c:extLst>
        </c:ser>
        <c:dLbls>
          <c:showLegendKey val="0"/>
          <c:showVal val="0"/>
          <c:showCatName val="0"/>
          <c:showSerName val="0"/>
          <c:showPercent val="1"/>
          <c:showBubbleSize val="1"/>
          <c:showLeaderLines val="1"/>
        </c:dLbls>
        <c:firstSliceAng val="0"/>
      </c:pieChart>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18</xdr:row>
      <xdr:rowOff>0</xdr:rowOff>
    </xdr:from>
    <xdr:ext cx="9720000" cy="36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0</xdr:col>
      <xdr:colOff>0</xdr:colOff>
      <xdr:row>39</xdr:row>
      <xdr:rowOff>0</xdr:rowOff>
    </xdr:from>
    <xdr:ext cx="4860000" cy="324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6</xdr:col>
      <xdr:colOff>0</xdr:colOff>
      <xdr:row>39</xdr:row>
      <xdr:rowOff>0</xdr:rowOff>
    </xdr:from>
    <xdr:ext cx="4860000" cy="3240000"/>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18</xdr:row>
      <xdr:rowOff>0</xdr:rowOff>
    </xdr:from>
    <xdr:ext cx="9720000" cy="360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0</xdr:col>
      <xdr:colOff>0</xdr:colOff>
      <xdr:row>39</xdr:row>
      <xdr:rowOff>0</xdr:rowOff>
    </xdr:from>
    <xdr:ext cx="4860000" cy="324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6</xdr:col>
      <xdr:colOff>0</xdr:colOff>
      <xdr:row>39</xdr:row>
      <xdr:rowOff>0</xdr:rowOff>
    </xdr:from>
    <xdr:ext cx="4860000" cy="3240000"/>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18</xdr:row>
      <xdr:rowOff>0</xdr:rowOff>
    </xdr:from>
    <xdr:ext cx="9720000" cy="360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0</xdr:col>
      <xdr:colOff>0</xdr:colOff>
      <xdr:row>39</xdr:row>
      <xdr:rowOff>0</xdr:rowOff>
    </xdr:from>
    <xdr:ext cx="4860000" cy="324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6</xdr:col>
      <xdr:colOff>0</xdr:colOff>
      <xdr:row>39</xdr:row>
      <xdr:rowOff>0</xdr:rowOff>
    </xdr:from>
    <xdr:ext cx="4860000" cy="3240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160560</xdr:rowOff>
    </xdr:from>
    <xdr:to>
      <xdr:col>8</xdr:col>
      <xdr:colOff>111960</xdr:colOff>
      <xdr:row>50</xdr:row>
      <xdr:rowOff>84240</xdr:rowOff>
    </xdr:to>
    <xdr:pic>
      <xdr:nvPicPr>
        <xdr:cNvPr id="9" name="Image 1" descr="Picture">
          <a:extLst>
            <a:ext uri="{FF2B5EF4-FFF2-40B4-BE49-F238E27FC236}">
              <a16:creationId xmlns:a16="http://schemas.microsoft.com/office/drawing/2014/main" id="{00000000-0008-0000-0400-000009000000}"/>
            </a:ext>
          </a:extLst>
        </xdr:cNvPr>
        <xdr:cNvPicPr/>
      </xdr:nvPicPr>
      <xdr:blipFill>
        <a:blip xmlns:r="http://schemas.openxmlformats.org/officeDocument/2006/relationships" r:embed="rId1"/>
        <a:stretch/>
      </xdr:blipFill>
      <xdr:spPr>
        <a:xfrm>
          <a:off x="0" y="380880"/>
          <a:ext cx="10896120" cy="925812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97"/>
  <sheetViews>
    <sheetView zoomScale="85" zoomScaleNormal="85" workbookViewId="0">
      <pane xSplit="5" ySplit="4" topLeftCell="F5" activePane="bottomRight" state="frozen"/>
      <selection pane="topRight" activeCell="F1" sqref="F1"/>
      <selection pane="bottomLeft" activeCell="A5" sqref="A5"/>
      <selection pane="bottomRight"/>
    </sheetView>
  </sheetViews>
  <sheetFormatPr defaultColWidth="8.7109375" defaultRowHeight="15" x14ac:dyDescent="0.25"/>
  <cols>
    <col min="1" max="1" width="8" customWidth="1"/>
    <col min="2" max="3" width="9" customWidth="1"/>
    <col min="4" max="4" width="11" customWidth="1"/>
    <col min="5" max="5" width="34" customWidth="1"/>
    <col min="6" max="6" width="22" customWidth="1"/>
    <col min="7" max="7" width="18" customWidth="1"/>
    <col min="8" max="8" width="11" customWidth="1"/>
    <col min="9" max="9" width="7" customWidth="1"/>
    <col min="10" max="10" width="28" customWidth="1"/>
    <col min="11" max="11" width="20" customWidth="1"/>
    <col min="12" max="12" width="45" customWidth="1"/>
    <col min="13" max="14" width="11" customWidth="1"/>
    <col min="15" max="15" width="9" customWidth="1"/>
    <col min="16" max="16" width="10" customWidth="1"/>
    <col min="17" max="17" width="60" customWidth="1"/>
    <col min="18" max="19" width="11" customWidth="1"/>
    <col min="20" max="20" width="9" customWidth="1"/>
    <col min="21" max="21" width="10" customWidth="1"/>
    <col min="22" max="23" width="9" customWidth="1"/>
    <col min="24" max="24" width="22" customWidth="1"/>
    <col min="25" max="26" width="14" customWidth="1"/>
    <col min="27" max="27" width="32" customWidth="1"/>
    <col min="28" max="30" width="13" hidden="1" customWidth="1"/>
  </cols>
  <sheetData>
    <row r="1" spans="1:30" ht="18" x14ac:dyDescent="0.25">
      <c r="A1" s="2" t="s">
        <v>0</v>
      </c>
    </row>
    <row r="2" spans="1:30" x14ac:dyDescent="0.25">
      <c r="A2" s="3" t="s">
        <v>1</v>
      </c>
    </row>
    <row r="3" spans="1:30" x14ac:dyDescent="0.25">
      <c r="A3" s="4" t="s">
        <v>2</v>
      </c>
    </row>
    <row r="4" spans="1:30" ht="54" customHeight="1" x14ac:dyDescent="0.25">
      <c r="A4" s="5" t="s">
        <v>3</v>
      </c>
      <c r="B4" s="5" t="s">
        <v>4</v>
      </c>
      <c r="C4" s="5" t="s">
        <v>5</v>
      </c>
      <c r="D4" s="5" t="s">
        <v>6</v>
      </c>
      <c r="E4" s="5" t="s">
        <v>7</v>
      </c>
      <c r="F4" s="5" t="s">
        <v>8</v>
      </c>
      <c r="G4" s="5" t="s">
        <v>9</v>
      </c>
      <c r="H4" s="5" t="s">
        <v>10</v>
      </c>
      <c r="I4" s="5" t="s">
        <v>11</v>
      </c>
      <c r="J4" s="5" t="s">
        <v>12</v>
      </c>
      <c r="K4" s="5" t="s">
        <v>13</v>
      </c>
      <c r="L4" s="5" t="s">
        <v>14</v>
      </c>
      <c r="M4" s="5" t="s">
        <v>15</v>
      </c>
      <c r="N4" s="5" t="s">
        <v>16</v>
      </c>
      <c r="O4" s="5" t="s">
        <v>17</v>
      </c>
      <c r="P4" s="5" t="s">
        <v>18</v>
      </c>
      <c r="Q4" s="5" t="s">
        <v>19</v>
      </c>
      <c r="R4" s="5" t="s">
        <v>20</v>
      </c>
      <c r="S4" s="5" t="s">
        <v>21</v>
      </c>
      <c r="T4" s="5" t="s">
        <v>22</v>
      </c>
      <c r="U4" s="5" t="s">
        <v>23</v>
      </c>
      <c r="V4" s="5" t="s">
        <v>24</v>
      </c>
      <c r="W4" s="5" t="s">
        <v>25</v>
      </c>
      <c r="X4" s="5" t="s">
        <v>26</v>
      </c>
      <c r="Y4" s="5" t="s">
        <v>27</v>
      </c>
      <c r="Z4" s="5" t="s">
        <v>28</v>
      </c>
      <c r="AA4" s="5" t="s">
        <v>29</v>
      </c>
      <c r="AB4" s="6" t="s">
        <v>30</v>
      </c>
      <c r="AC4" s="6" t="s">
        <v>31</v>
      </c>
      <c r="AD4" s="6" t="s">
        <v>32</v>
      </c>
    </row>
    <row r="5" spans="1:30" ht="38.25" x14ac:dyDescent="0.25">
      <c r="A5" s="7">
        <f t="shared" ref="A5:A68" si="0">COUNTIF($T$5:$T$297,"&gt;"&amp;T5)+1</f>
        <v>1</v>
      </c>
      <c r="B5" s="7" t="s">
        <v>33</v>
      </c>
      <c r="C5" s="7" t="s">
        <v>34</v>
      </c>
      <c r="D5" s="8" t="str">
        <f>INDEX('Summary by Assessment'!$C$5:$C$101,MATCH(C5,'Summary by Assessment'!$B$5:$B$101,0))</f>
        <v>Perth</v>
      </c>
      <c r="E5" s="9" t="s">
        <v>35</v>
      </c>
      <c r="F5" s="9" t="s">
        <v>36</v>
      </c>
      <c r="G5" s="9" t="s">
        <v>37</v>
      </c>
      <c r="H5" s="7" t="s">
        <v>38</v>
      </c>
      <c r="I5" s="7" t="s">
        <v>39</v>
      </c>
      <c r="J5" s="9" t="s">
        <v>40</v>
      </c>
      <c r="K5" s="9" t="s">
        <v>41</v>
      </c>
      <c r="L5" s="9" t="s">
        <v>42</v>
      </c>
      <c r="M5" s="10">
        <v>5</v>
      </c>
      <c r="N5" s="10">
        <v>3</v>
      </c>
      <c r="O5" s="7">
        <f t="shared" ref="O5:O68" si="1">M5*N5</f>
        <v>15</v>
      </c>
      <c r="P5" s="7" t="str">
        <f>INDEX('Scales &amp; Matrix'!$B$13:$F$17,6-N5,M5)</f>
        <v>High</v>
      </c>
      <c r="Q5" s="9" t="s">
        <v>43</v>
      </c>
      <c r="R5" s="10">
        <v>4</v>
      </c>
      <c r="S5" s="10">
        <v>3</v>
      </c>
      <c r="T5" s="7">
        <f t="shared" ref="T5:T68" si="2">R5*S5</f>
        <v>12</v>
      </c>
      <c r="U5" s="7" t="str">
        <f>INDEX('Scales &amp; Matrix'!$B$13:$F$17,6-S5,R5)</f>
        <v>High</v>
      </c>
      <c r="V5" s="11">
        <f t="shared" ref="V5:V68" si="3">O5-T5</f>
        <v>3</v>
      </c>
      <c r="W5" s="12">
        <f t="shared" ref="W5:W68" si="4">IF(O5=0,0,V5/O5)</f>
        <v>0.2</v>
      </c>
      <c r="X5" s="9" t="s">
        <v>44</v>
      </c>
      <c r="Y5" s="7" t="s">
        <v>45</v>
      </c>
      <c r="Z5" s="7" t="s">
        <v>46</v>
      </c>
      <c r="AA5" s="9" t="str">
        <f t="shared" ref="AA5:AA68" si="5">TRIM(IF(T5&gt;O5,"Residual higher than inherent - check. ","")&amp;IF(O5&lt;&gt;IFERROR(VALUE(TRIM(MID(Y5,FIND(" - ",Y5)+3,3))),0),"Inherent score differs from source form. ","")&amp;IF(T5&lt;&gt;IFERROR(VALUE(TRIM(MID(Z5,FIND(" - ",Z5)+3,3))),0),"Residual score differs from source form. ","")&amp;IF(LOWER(IFERROR(TRIM(LEFT(Z5,FIND(" - ",Z5)-1)),""))&lt;&gt;LOWER(U5),"Source residual rating shown as "&amp;IFERROR(TRIM(LEFT(Z5,FIND(" - ",Z5)-1)),"")&amp;". ","")&amp;IF(LOWER(IFERROR(TRIM(LEFT(Y5,FIND(" - ",Y5)-1)),""))&lt;&gt;LOWER(P5),"Source inherent rating shown as "&amp;IFERROR(TRIM(LEFT(Y5,FIND(" - ",Y5)-1)),"")&amp;". ","")&amp;IF(LEN(TRIM(L5))&lt;6,"Placeholder - no hazard entered on form. ",""))</f>
        <v/>
      </c>
      <c r="AB5" s="13">
        <f t="shared" ref="AB5:AB68" si="6">T5*1000000+O5*10000+(10000-ROW())</f>
        <v>12159995</v>
      </c>
      <c r="AC5" s="13">
        <f t="shared" ref="AC5:AC68" si="7">IF(D5="Perth",AB5,0)</f>
        <v>12159995</v>
      </c>
      <c r="AD5" s="13">
        <f t="shared" ref="AD5:AD68" si="8">IF(D5="Fremantle",AB5,0)</f>
        <v>0</v>
      </c>
    </row>
    <row r="6" spans="1:30" ht="63.75" x14ac:dyDescent="0.25">
      <c r="A6" s="7">
        <f t="shared" si="0"/>
        <v>1</v>
      </c>
      <c r="B6" s="7" t="s">
        <v>47</v>
      </c>
      <c r="C6" s="7" t="s">
        <v>48</v>
      </c>
      <c r="D6" s="8" t="str">
        <f>INDEX('Summary by Assessment'!$C$5:$C$101,MATCH(C6,'Summary by Assessment'!$B$5:$B$101,0))</f>
        <v>Fremantle</v>
      </c>
      <c r="E6" s="9" t="s">
        <v>49</v>
      </c>
      <c r="F6" s="9" t="s">
        <v>50</v>
      </c>
      <c r="G6" s="9" t="s">
        <v>51</v>
      </c>
      <c r="H6" s="7" t="s">
        <v>52</v>
      </c>
      <c r="I6" s="7" t="s">
        <v>53</v>
      </c>
      <c r="J6" s="9" t="s">
        <v>54</v>
      </c>
      <c r="K6" s="9" t="s">
        <v>55</v>
      </c>
      <c r="L6" s="9" t="s">
        <v>56</v>
      </c>
      <c r="M6" s="10">
        <v>4</v>
      </c>
      <c r="N6" s="10">
        <v>3</v>
      </c>
      <c r="O6" s="7">
        <f t="shared" si="1"/>
        <v>12</v>
      </c>
      <c r="P6" s="7" t="str">
        <f>INDEX('Scales &amp; Matrix'!$B$13:$F$17,6-N6,M6)</f>
        <v>High</v>
      </c>
      <c r="Q6" s="9" t="s">
        <v>57</v>
      </c>
      <c r="R6" s="10">
        <v>4</v>
      </c>
      <c r="S6" s="10">
        <v>3</v>
      </c>
      <c r="T6" s="7">
        <f t="shared" si="2"/>
        <v>12</v>
      </c>
      <c r="U6" s="7" t="str">
        <f>INDEX('Scales &amp; Matrix'!$B$13:$F$17,6-S6,R6)</f>
        <v>High</v>
      </c>
      <c r="V6" s="11">
        <f t="shared" si="3"/>
        <v>0</v>
      </c>
      <c r="W6" s="12">
        <f t="shared" si="4"/>
        <v>0</v>
      </c>
      <c r="X6" s="9" t="s">
        <v>58</v>
      </c>
      <c r="Y6" s="7" t="s">
        <v>46</v>
      </c>
      <c r="Z6" s="7" t="s">
        <v>46</v>
      </c>
      <c r="AA6" s="9" t="str">
        <f t="shared" si="5"/>
        <v/>
      </c>
      <c r="AB6" s="13">
        <f t="shared" si="6"/>
        <v>12129994</v>
      </c>
      <c r="AC6" s="13">
        <f t="shared" si="7"/>
        <v>0</v>
      </c>
      <c r="AD6" s="13">
        <f t="shared" si="8"/>
        <v>12129994</v>
      </c>
    </row>
    <row r="7" spans="1:30" ht="51" x14ac:dyDescent="0.25">
      <c r="A7" s="7">
        <f t="shared" si="0"/>
        <v>1</v>
      </c>
      <c r="B7" s="7" t="s">
        <v>59</v>
      </c>
      <c r="C7" s="7" t="s">
        <v>60</v>
      </c>
      <c r="D7" s="8" t="str">
        <f>INDEX('Summary by Assessment'!$C$5:$C$101,MATCH(C7,'Summary by Assessment'!$B$5:$B$101,0))</f>
        <v>Perth</v>
      </c>
      <c r="E7" s="9" t="s">
        <v>61</v>
      </c>
      <c r="F7" s="9" t="s">
        <v>36</v>
      </c>
      <c r="G7" s="9" t="s">
        <v>51</v>
      </c>
      <c r="H7" s="7" t="s">
        <v>52</v>
      </c>
      <c r="I7" s="7" t="s">
        <v>62</v>
      </c>
      <c r="J7" s="9" t="s">
        <v>63</v>
      </c>
      <c r="K7" s="9" t="s">
        <v>64</v>
      </c>
      <c r="L7" s="9" t="s">
        <v>65</v>
      </c>
      <c r="M7" s="10">
        <v>4</v>
      </c>
      <c r="N7" s="10">
        <v>3</v>
      </c>
      <c r="O7" s="7">
        <f t="shared" si="1"/>
        <v>12</v>
      </c>
      <c r="P7" s="7" t="str">
        <f>INDEX('Scales &amp; Matrix'!$B$13:$F$17,6-N7,M7)</f>
        <v>High</v>
      </c>
      <c r="Q7" s="9" t="s">
        <v>66</v>
      </c>
      <c r="R7" s="10">
        <v>4</v>
      </c>
      <c r="S7" s="10">
        <v>3</v>
      </c>
      <c r="T7" s="7">
        <f t="shared" si="2"/>
        <v>12</v>
      </c>
      <c r="U7" s="7" t="str">
        <f>INDEX('Scales &amp; Matrix'!$B$13:$F$17,6-S7,R7)</f>
        <v>High</v>
      </c>
      <c r="V7" s="11">
        <f t="shared" si="3"/>
        <v>0</v>
      </c>
      <c r="W7" s="12">
        <f t="shared" si="4"/>
        <v>0</v>
      </c>
      <c r="X7" s="9" t="s">
        <v>67</v>
      </c>
      <c r="Y7" s="7" t="s">
        <v>46</v>
      </c>
      <c r="Z7" s="7" t="s">
        <v>46</v>
      </c>
      <c r="AA7" s="9" t="str">
        <f t="shared" si="5"/>
        <v/>
      </c>
      <c r="AB7" s="13">
        <f t="shared" si="6"/>
        <v>12129993</v>
      </c>
      <c r="AC7" s="13">
        <f t="shared" si="7"/>
        <v>12129993</v>
      </c>
      <c r="AD7" s="13">
        <f t="shared" si="8"/>
        <v>0</v>
      </c>
    </row>
    <row r="8" spans="1:30" ht="76.5" x14ac:dyDescent="0.25">
      <c r="A8" s="7">
        <f t="shared" si="0"/>
        <v>1</v>
      </c>
      <c r="B8" s="7" t="s">
        <v>68</v>
      </c>
      <c r="C8" s="7" t="s">
        <v>69</v>
      </c>
      <c r="D8" s="8" t="str">
        <f>INDEX('Summary by Assessment'!$C$5:$C$101,MATCH(C8,'Summary by Assessment'!$B$5:$B$101,0))</f>
        <v>Fremantle</v>
      </c>
      <c r="E8" s="9" t="s">
        <v>70</v>
      </c>
      <c r="F8" s="9" t="s">
        <v>50</v>
      </c>
      <c r="G8" s="9" t="s">
        <v>51</v>
      </c>
      <c r="H8" s="7" t="s">
        <v>71</v>
      </c>
      <c r="I8" s="7" t="s">
        <v>39</v>
      </c>
      <c r="J8" s="9" t="s">
        <v>72</v>
      </c>
      <c r="K8" s="9" t="s">
        <v>73</v>
      </c>
      <c r="L8" s="9" t="s">
        <v>74</v>
      </c>
      <c r="M8" s="10">
        <v>3</v>
      </c>
      <c r="N8" s="10">
        <v>3</v>
      </c>
      <c r="O8" s="7">
        <f t="shared" si="1"/>
        <v>9</v>
      </c>
      <c r="P8" s="7" t="str">
        <f>INDEX('Scales &amp; Matrix'!$B$13:$F$17,6-N8,M8)</f>
        <v>Moderate</v>
      </c>
      <c r="Q8" s="9" t="s">
        <v>75</v>
      </c>
      <c r="R8" s="10">
        <v>4</v>
      </c>
      <c r="S8" s="10">
        <v>3</v>
      </c>
      <c r="T8" s="7">
        <f t="shared" si="2"/>
        <v>12</v>
      </c>
      <c r="U8" s="7" t="str">
        <f>INDEX('Scales &amp; Matrix'!$B$13:$F$17,6-S8,R8)</f>
        <v>High</v>
      </c>
      <c r="V8" s="11">
        <f t="shared" si="3"/>
        <v>-3</v>
      </c>
      <c r="W8" s="12">
        <f t="shared" si="4"/>
        <v>-0.33333333333333331</v>
      </c>
      <c r="X8" s="9" t="s">
        <v>67</v>
      </c>
      <c r="Y8" s="7" t="s">
        <v>76</v>
      </c>
      <c r="Z8" s="7" t="s">
        <v>46</v>
      </c>
      <c r="AA8" s="9" t="str">
        <f t="shared" si="5"/>
        <v>Residual higher than inherent - check.</v>
      </c>
      <c r="AB8" s="13">
        <f t="shared" si="6"/>
        <v>12099992</v>
      </c>
      <c r="AC8" s="13">
        <f t="shared" si="7"/>
        <v>0</v>
      </c>
      <c r="AD8" s="13">
        <f t="shared" si="8"/>
        <v>12099992</v>
      </c>
    </row>
    <row r="9" spans="1:30" ht="76.5" x14ac:dyDescent="0.25">
      <c r="A9" s="7">
        <f t="shared" si="0"/>
        <v>1</v>
      </c>
      <c r="B9" s="7" t="s">
        <v>77</v>
      </c>
      <c r="C9" s="7" t="s">
        <v>78</v>
      </c>
      <c r="D9" s="8" t="str">
        <f>INDEX('Summary by Assessment'!$C$5:$C$101,MATCH(C9,'Summary by Assessment'!$B$5:$B$101,0))</f>
        <v>Perth</v>
      </c>
      <c r="E9" s="9" t="s">
        <v>70</v>
      </c>
      <c r="F9" s="9" t="s">
        <v>50</v>
      </c>
      <c r="G9" s="9" t="s">
        <v>51</v>
      </c>
      <c r="H9" s="7" t="s">
        <v>52</v>
      </c>
      <c r="I9" s="7" t="s">
        <v>39</v>
      </c>
      <c r="J9" s="9" t="s">
        <v>72</v>
      </c>
      <c r="K9" s="9" t="s">
        <v>73</v>
      </c>
      <c r="L9" s="9" t="s">
        <v>74</v>
      </c>
      <c r="M9" s="10">
        <v>3</v>
      </c>
      <c r="N9" s="10">
        <v>3</v>
      </c>
      <c r="O9" s="7">
        <f t="shared" si="1"/>
        <v>9</v>
      </c>
      <c r="P9" s="7" t="str">
        <f>INDEX('Scales &amp; Matrix'!$B$13:$F$17,6-N9,M9)</f>
        <v>Moderate</v>
      </c>
      <c r="Q9" s="9" t="s">
        <v>75</v>
      </c>
      <c r="R9" s="10">
        <v>4</v>
      </c>
      <c r="S9" s="10">
        <v>3</v>
      </c>
      <c r="T9" s="7">
        <f t="shared" si="2"/>
        <v>12</v>
      </c>
      <c r="U9" s="7" t="str">
        <f>INDEX('Scales &amp; Matrix'!$B$13:$F$17,6-S9,R9)</f>
        <v>High</v>
      </c>
      <c r="V9" s="11">
        <f t="shared" si="3"/>
        <v>-3</v>
      </c>
      <c r="W9" s="12">
        <f t="shared" si="4"/>
        <v>-0.33333333333333331</v>
      </c>
      <c r="X9" s="9" t="s">
        <v>67</v>
      </c>
      <c r="Y9" s="7" t="s">
        <v>76</v>
      </c>
      <c r="Z9" s="7" t="s">
        <v>46</v>
      </c>
      <c r="AA9" s="9" t="str">
        <f t="shared" si="5"/>
        <v>Residual higher than inherent - check.</v>
      </c>
      <c r="AB9" s="13">
        <f t="shared" si="6"/>
        <v>12099991</v>
      </c>
      <c r="AC9" s="13">
        <f t="shared" si="7"/>
        <v>12099991</v>
      </c>
      <c r="AD9" s="13">
        <f t="shared" si="8"/>
        <v>0</v>
      </c>
    </row>
    <row r="10" spans="1:30" ht="63.75" x14ac:dyDescent="0.25">
      <c r="A10" s="7">
        <f t="shared" si="0"/>
        <v>6</v>
      </c>
      <c r="B10" s="7" t="s">
        <v>79</v>
      </c>
      <c r="C10" s="7" t="s">
        <v>80</v>
      </c>
      <c r="D10" s="8" t="str">
        <f>INDEX('Summary by Assessment'!$C$5:$C$101,MATCH(C10,'Summary by Assessment'!$B$5:$B$101,0))</f>
        <v>Fremantle</v>
      </c>
      <c r="E10" s="9" t="s">
        <v>81</v>
      </c>
      <c r="F10" s="9" t="s">
        <v>50</v>
      </c>
      <c r="G10" s="9" t="s">
        <v>51</v>
      </c>
      <c r="H10" s="7" t="s">
        <v>71</v>
      </c>
      <c r="I10" s="7" t="s">
        <v>53</v>
      </c>
      <c r="J10" s="9" t="s">
        <v>82</v>
      </c>
      <c r="K10" s="9" t="s">
        <v>83</v>
      </c>
      <c r="L10" s="9" t="s">
        <v>84</v>
      </c>
      <c r="M10" s="10">
        <v>5</v>
      </c>
      <c r="N10" s="10">
        <v>3</v>
      </c>
      <c r="O10" s="7">
        <f t="shared" si="1"/>
        <v>15</v>
      </c>
      <c r="P10" s="7" t="str">
        <f>INDEX('Scales &amp; Matrix'!$B$13:$F$17,6-N10,M10)</f>
        <v>High</v>
      </c>
      <c r="Q10" s="9" t="s">
        <v>85</v>
      </c>
      <c r="R10" s="10">
        <v>5</v>
      </c>
      <c r="S10" s="10">
        <v>2</v>
      </c>
      <c r="T10" s="7">
        <f t="shared" si="2"/>
        <v>10</v>
      </c>
      <c r="U10" s="7" t="str">
        <f>INDEX('Scales &amp; Matrix'!$B$13:$F$17,6-S10,R10)</f>
        <v>High</v>
      </c>
      <c r="V10" s="11">
        <f t="shared" si="3"/>
        <v>5</v>
      </c>
      <c r="W10" s="12">
        <f t="shared" si="4"/>
        <v>0.33333333333333331</v>
      </c>
      <c r="X10" s="9" t="s">
        <v>86</v>
      </c>
      <c r="Y10" s="7" t="s">
        <v>45</v>
      </c>
      <c r="Z10" s="7" t="s">
        <v>87</v>
      </c>
      <c r="AA10" s="9" t="str">
        <f t="shared" si="5"/>
        <v/>
      </c>
      <c r="AB10" s="13">
        <f t="shared" si="6"/>
        <v>10159990</v>
      </c>
      <c r="AC10" s="13">
        <f t="shared" si="7"/>
        <v>0</v>
      </c>
      <c r="AD10" s="13">
        <f t="shared" si="8"/>
        <v>10159990</v>
      </c>
    </row>
    <row r="11" spans="1:30" ht="51" x14ac:dyDescent="0.25">
      <c r="A11" s="7">
        <f t="shared" si="0"/>
        <v>6</v>
      </c>
      <c r="B11" s="7" t="s">
        <v>88</v>
      </c>
      <c r="C11" s="7" t="s">
        <v>89</v>
      </c>
      <c r="D11" s="8" t="str">
        <f>INDEX('Summary by Assessment'!$C$5:$C$101,MATCH(C11,'Summary by Assessment'!$B$5:$B$101,0))</f>
        <v>Fremantle</v>
      </c>
      <c r="E11" s="9" t="s">
        <v>90</v>
      </c>
      <c r="F11" s="9" t="s">
        <v>50</v>
      </c>
      <c r="G11" s="9" t="s">
        <v>51</v>
      </c>
      <c r="H11" s="7" t="s">
        <v>91</v>
      </c>
      <c r="I11" s="7" t="s">
        <v>92</v>
      </c>
      <c r="J11" s="9" t="s">
        <v>93</v>
      </c>
      <c r="K11" s="9" t="s">
        <v>94</v>
      </c>
      <c r="L11" s="9" t="s">
        <v>95</v>
      </c>
      <c r="M11" s="10">
        <v>5</v>
      </c>
      <c r="N11" s="10">
        <v>3</v>
      </c>
      <c r="O11" s="7">
        <f t="shared" si="1"/>
        <v>15</v>
      </c>
      <c r="P11" s="7" t="str">
        <f>INDEX('Scales &amp; Matrix'!$B$13:$F$17,6-N11,M11)</f>
        <v>High</v>
      </c>
      <c r="Q11" s="9" t="s">
        <v>96</v>
      </c>
      <c r="R11" s="10">
        <v>5</v>
      </c>
      <c r="S11" s="10">
        <v>2</v>
      </c>
      <c r="T11" s="7">
        <f t="shared" si="2"/>
        <v>10</v>
      </c>
      <c r="U11" s="7" t="str">
        <f>INDEX('Scales &amp; Matrix'!$B$13:$F$17,6-S11,R11)</f>
        <v>High</v>
      </c>
      <c r="V11" s="11">
        <f t="shared" si="3"/>
        <v>5</v>
      </c>
      <c r="W11" s="12">
        <f t="shared" si="4"/>
        <v>0.33333333333333331</v>
      </c>
      <c r="X11" s="9" t="s">
        <v>97</v>
      </c>
      <c r="Y11" s="7" t="s">
        <v>45</v>
      </c>
      <c r="Z11" s="7" t="s">
        <v>87</v>
      </c>
      <c r="AA11" s="9" t="str">
        <f t="shared" si="5"/>
        <v/>
      </c>
      <c r="AB11" s="13">
        <f t="shared" si="6"/>
        <v>10159989</v>
      </c>
      <c r="AC11" s="13">
        <f t="shared" si="7"/>
        <v>0</v>
      </c>
      <c r="AD11" s="13">
        <f t="shared" si="8"/>
        <v>10159989</v>
      </c>
    </row>
    <row r="12" spans="1:30" ht="51" x14ac:dyDescent="0.25">
      <c r="A12" s="7">
        <f t="shared" si="0"/>
        <v>6</v>
      </c>
      <c r="B12" s="7" t="s">
        <v>98</v>
      </c>
      <c r="C12" s="7" t="s">
        <v>99</v>
      </c>
      <c r="D12" s="8" t="str">
        <f>INDEX('Summary by Assessment'!$C$5:$C$101,MATCH(C12,'Summary by Assessment'!$B$5:$B$101,0))</f>
        <v>Fremantle</v>
      </c>
      <c r="E12" s="9" t="s">
        <v>100</v>
      </c>
      <c r="F12" s="9" t="s">
        <v>50</v>
      </c>
      <c r="G12" s="9" t="s">
        <v>51</v>
      </c>
      <c r="H12" s="7" t="s">
        <v>101</v>
      </c>
      <c r="I12" s="7" t="s">
        <v>39</v>
      </c>
      <c r="J12" s="9" t="s">
        <v>102</v>
      </c>
      <c r="K12" s="9" t="s">
        <v>94</v>
      </c>
      <c r="L12" s="9" t="s">
        <v>103</v>
      </c>
      <c r="M12" s="10">
        <v>5</v>
      </c>
      <c r="N12" s="10">
        <v>3</v>
      </c>
      <c r="O12" s="7">
        <f t="shared" si="1"/>
        <v>15</v>
      </c>
      <c r="P12" s="7" t="str">
        <f>INDEX('Scales &amp; Matrix'!$B$13:$F$17,6-N12,M12)</f>
        <v>High</v>
      </c>
      <c r="Q12" s="9" t="s">
        <v>104</v>
      </c>
      <c r="R12" s="10">
        <v>5</v>
      </c>
      <c r="S12" s="10">
        <v>2</v>
      </c>
      <c r="T12" s="7">
        <f t="shared" si="2"/>
        <v>10</v>
      </c>
      <c r="U12" s="7" t="str">
        <f>INDEX('Scales &amp; Matrix'!$B$13:$F$17,6-S12,R12)</f>
        <v>High</v>
      </c>
      <c r="V12" s="11">
        <f t="shared" si="3"/>
        <v>5</v>
      </c>
      <c r="W12" s="12">
        <f t="shared" si="4"/>
        <v>0.33333333333333331</v>
      </c>
      <c r="X12" s="9" t="s">
        <v>105</v>
      </c>
      <c r="Y12" s="7" t="s">
        <v>45</v>
      </c>
      <c r="Z12" s="7" t="s">
        <v>87</v>
      </c>
      <c r="AA12" s="9" t="str">
        <f t="shared" si="5"/>
        <v/>
      </c>
      <c r="AB12" s="13">
        <f t="shared" si="6"/>
        <v>10159988</v>
      </c>
      <c r="AC12" s="13">
        <f t="shared" si="7"/>
        <v>0</v>
      </c>
      <c r="AD12" s="13">
        <f t="shared" si="8"/>
        <v>10159988</v>
      </c>
    </row>
    <row r="13" spans="1:30" ht="51" x14ac:dyDescent="0.25">
      <c r="A13" s="7">
        <f t="shared" si="0"/>
        <v>6</v>
      </c>
      <c r="B13" s="7" t="s">
        <v>106</v>
      </c>
      <c r="C13" s="7" t="s">
        <v>107</v>
      </c>
      <c r="D13" s="8" t="str">
        <f>INDEX('Summary by Assessment'!$C$5:$C$101,MATCH(C13,'Summary by Assessment'!$B$5:$B$101,0))</f>
        <v>Fremantle</v>
      </c>
      <c r="E13" s="9" t="s">
        <v>108</v>
      </c>
      <c r="F13" s="9" t="s">
        <v>50</v>
      </c>
      <c r="G13" s="9" t="s">
        <v>51</v>
      </c>
      <c r="H13" s="7" t="s">
        <v>101</v>
      </c>
      <c r="I13" s="7" t="s">
        <v>92</v>
      </c>
      <c r="J13" s="9" t="s">
        <v>93</v>
      </c>
      <c r="K13" s="9" t="s">
        <v>94</v>
      </c>
      <c r="L13" s="9" t="s">
        <v>95</v>
      </c>
      <c r="M13" s="10">
        <v>5</v>
      </c>
      <c r="N13" s="10">
        <v>3</v>
      </c>
      <c r="O13" s="7">
        <f t="shared" si="1"/>
        <v>15</v>
      </c>
      <c r="P13" s="7" t="str">
        <f>INDEX('Scales &amp; Matrix'!$B$13:$F$17,6-N13,M13)</f>
        <v>High</v>
      </c>
      <c r="Q13" s="9" t="s">
        <v>96</v>
      </c>
      <c r="R13" s="10">
        <v>5</v>
      </c>
      <c r="S13" s="10">
        <v>2</v>
      </c>
      <c r="T13" s="7">
        <f t="shared" si="2"/>
        <v>10</v>
      </c>
      <c r="U13" s="7" t="str">
        <f>INDEX('Scales &amp; Matrix'!$B$13:$F$17,6-S13,R13)</f>
        <v>High</v>
      </c>
      <c r="V13" s="11">
        <f t="shared" si="3"/>
        <v>5</v>
      </c>
      <c r="W13" s="12">
        <f t="shared" si="4"/>
        <v>0.33333333333333331</v>
      </c>
      <c r="X13" s="9" t="s">
        <v>105</v>
      </c>
      <c r="Y13" s="7" t="s">
        <v>45</v>
      </c>
      <c r="Z13" s="7" t="s">
        <v>87</v>
      </c>
      <c r="AA13" s="9" t="str">
        <f t="shared" si="5"/>
        <v/>
      </c>
      <c r="AB13" s="13">
        <f t="shared" si="6"/>
        <v>10159987</v>
      </c>
      <c r="AC13" s="13">
        <f t="shared" si="7"/>
        <v>0</v>
      </c>
      <c r="AD13" s="13">
        <f t="shared" si="8"/>
        <v>10159987</v>
      </c>
    </row>
    <row r="14" spans="1:30" ht="63.75" x14ac:dyDescent="0.25">
      <c r="A14" s="7">
        <f t="shared" si="0"/>
        <v>6</v>
      </c>
      <c r="B14" s="7" t="s">
        <v>109</v>
      </c>
      <c r="C14" s="7" t="s">
        <v>110</v>
      </c>
      <c r="D14" s="8" t="str">
        <f>INDEX('Summary by Assessment'!$C$5:$C$101,MATCH(C14,'Summary by Assessment'!$B$5:$B$101,0))</f>
        <v>Perth</v>
      </c>
      <c r="E14" s="9" t="s">
        <v>111</v>
      </c>
      <c r="F14" s="9" t="s">
        <v>50</v>
      </c>
      <c r="G14" s="9" t="s">
        <v>51</v>
      </c>
      <c r="H14" s="7" t="s">
        <v>112</v>
      </c>
      <c r="I14" s="7" t="s">
        <v>62</v>
      </c>
      <c r="J14" s="9" t="s">
        <v>113</v>
      </c>
      <c r="K14" s="9" t="s">
        <v>94</v>
      </c>
      <c r="L14" s="9" t="s">
        <v>114</v>
      </c>
      <c r="M14" s="10">
        <v>5</v>
      </c>
      <c r="N14" s="10">
        <v>3</v>
      </c>
      <c r="O14" s="7">
        <f t="shared" si="1"/>
        <v>15</v>
      </c>
      <c r="P14" s="7" t="str">
        <f>INDEX('Scales &amp; Matrix'!$B$13:$F$17,6-N14,M14)</f>
        <v>High</v>
      </c>
      <c r="Q14" s="9" t="s">
        <v>115</v>
      </c>
      <c r="R14" s="10">
        <v>5</v>
      </c>
      <c r="S14" s="10">
        <v>2</v>
      </c>
      <c r="T14" s="7">
        <f t="shared" si="2"/>
        <v>10</v>
      </c>
      <c r="U14" s="7" t="str">
        <f>INDEX('Scales &amp; Matrix'!$B$13:$F$17,6-S14,R14)</f>
        <v>High</v>
      </c>
      <c r="V14" s="11">
        <f t="shared" si="3"/>
        <v>5</v>
      </c>
      <c r="W14" s="12">
        <f t="shared" si="4"/>
        <v>0.33333333333333331</v>
      </c>
      <c r="X14" s="9" t="s">
        <v>97</v>
      </c>
      <c r="Y14" s="7" t="s">
        <v>45</v>
      </c>
      <c r="Z14" s="7" t="s">
        <v>87</v>
      </c>
      <c r="AA14" s="9" t="str">
        <f t="shared" si="5"/>
        <v/>
      </c>
      <c r="AB14" s="13">
        <f t="shared" si="6"/>
        <v>10159986</v>
      </c>
      <c r="AC14" s="13">
        <f t="shared" si="7"/>
        <v>10159986</v>
      </c>
      <c r="AD14" s="13">
        <f t="shared" si="8"/>
        <v>0</v>
      </c>
    </row>
    <row r="15" spans="1:30" ht="63.75" x14ac:dyDescent="0.25">
      <c r="A15" s="7">
        <f t="shared" si="0"/>
        <v>6</v>
      </c>
      <c r="B15" s="7" t="s">
        <v>116</v>
      </c>
      <c r="C15" s="7" t="s">
        <v>117</v>
      </c>
      <c r="D15" s="8" t="str">
        <f>INDEX('Summary by Assessment'!$C$5:$C$101,MATCH(C15,'Summary by Assessment'!$B$5:$B$101,0))</f>
        <v>Perth</v>
      </c>
      <c r="E15" s="9" t="s">
        <v>81</v>
      </c>
      <c r="F15" s="9" t="s">
        <v>50</v>
      </c>
      <c r="G15" s="9" t="s">
        <v>51</v>
      </c>
      <c r="H15" s="7" t="s">
        <v>52</v>
      </c>
      <c r="I15" s="7" t="s">
        <v>53</v>
      </c>
      <c r="J15" s="9" t="s">
        <v>82</v>
      </c>
      <c r="K15" s="9" t="s">
        <v>83</v>
      </c>
      <c r="L15" s="9" t="s">
        <v>84</v>
      </c>
      <c r="M15" s="10">
        <v>5</v>
      </c>
      <c r="N15" s="10">
        <v>3</v>
      </c>
      <c r="O15" s="7">
        <f t="shared" si="1"/>
        <v>15</v>
      </c>
      <c r="P15" s="7" t="str">
        <f>INDEX('Scales &amp; Matrix'!$B$13:$F$17,6-N15,M15)</f>
        <v>High</v>
      </c>
      <c r="Q15" s="9" t="s">
        <v>85</v>
      </c>
      <c r="R15" s="10">
        <v>5</v>
      </c>
      <c r="S15" s="10">
        <v>2</v>
      </c>
      <c r="T15" s="7">
        <f t="shared" si="2"/>
        <v>10</v>
      </c>
      <c r="U15" s="7" t="str">
        <f>INDEX('Scales &amp; Matrix'!$B$13:$F$17,6-S15,R15)</f>
        <v>High</v>
      </c>
      <c r="V15" s="11">
        <f t="shared" si="3"/>
        <v>5</v>
      </c>
      <c r="W15" s="12">
        <f t="shared" si="4"/>
        <v>0.33333333333333331</v>
      </c>
      <c r="X15" s="9" t="s">
        <v>86</v>
      </c>
      <c r="Y15" s="7" t="s">
        <v>45</v>
      </c>
      <c r="Z15" s="7" t="s">
        <v>87</v>
      </c>
      <c r="AA15" s="9" t="str">
        <f t="shared" si="5"/>
        <v/>
      </c>
      <c r="AB15" s="13">
        <f t="shared" si="6"/>
        <v>10159985</v>
      </c>
      <c r="AC15" s="13">
        <f t="shared" si="7"/>
        <v>10159985</v>
      </c>
      <c r="AD15" s="13">
        <f t="shared" si="8"/>
        <v>0</v>
      </c>
    </row>
    <row r="16" spans="1:30" ht="51" x14ac:dyDescent="0.25">
      <c r="A16" s="7">
        <f t="shared" si="0"/>
        <v>6</v>
      </c>
      <c r="B16" s="7" t="s">
        <v>118</v>
      </c>
      <c r="C16" s="7" t="s">
        <v>119</v>
      </c>
      <c r="D16" s="8" t="str">
        <f>INDEX('Summary by Assessment'!$C$5:$C$101,MATCH(C16,'Summary by Assessment'!$B$5:$B$101,0))</f>
        <v>Perth</v>
      </c>
      <c r="E16" s="9" t="s">
        <v>120</v>
      </c>
      <c r="F16" s="9" t="s">
        <v>50</v>
      </c>
      <c r="G16" s="9" t="s">
        <v>51</v>
      </c>
      <c r="H16" s="7" t="s">
        <v>112</v>
      </c>
      <c r="I16" s="7" t="s">
        <v>92</v>
      </c>
      <c r="J16" s="9" t="s">
        <v>93</v>
      </c>
      <c r="K16" s="9" t="s">
        <v>94</v>
      </c>
      <c r="L16" s="9" t="s">
        <v>95</v>
      </c>
      <c r="M16" s="10">
        <v>5</v>
      </c>
      <c r="N16" s="10">
        <v>3</v>
      </c>
      <c r="O16" s="7">
        <f t="shared" si="1"/>
        <v>15</v>
      </c>
      <c r="P16" s="7" t="str">
        <f>INDEX('Scales &amp; Matrix'!$B$13:$F$17,6-N16,M16)</f>
        <v>High</v>
      </c>
      <c r="Q16" s="9" t="s">
        <v>96</v>
      </c>
      <c r="R16" s="10">
        <v>5</v>
      </c>
      <c r="S16" s="10">
        <v>2</v>
      </c>
      <c r="T16" s="7">
        <f t="shared" si="2"/>
        <v>10</v>
      </c>
      <c r="U16" s="7" t="str">
        <f>INDEX('Scales &amp; Matrix'!$B$13:$F$17,6-S16,R16)</f>
        <v>High</v>
      </c>
      <c r="V16" s="11">
        <f t="shared" si="3"/>
        <v>5</v>
      </c>
      <c r="W16" s="12">
        <f t="shared" si="4"/>
        <v>0.33333333333333331</v>
      </c>
      <c r="X16" s="9" t="s">
        <v>97</v>
      </c>
      <c r="Y16" s="7" t="s">
        <v>45</v>
      </c>
      <c r="Z16" s="7" t="s">
        <v>87</v>
      </c>
      <c r="AA16" s="9" t="str">
        <f t="shared" si="5"/>
        <v/>
      </c>
      <c r="AB16" s="13">
        <f t="shared" si="6"/>
        <v>10159984</v>
      </c>
      <c r="AC16" s="13">
        <f t="shared" si="7"/>
        <v>10159984</v>
      </c>
      <c r="AD16" s="13">
        <f t="shared" si="8"/>
        <v>0</v>
      </c>
    </row>
    <row r="17" spans="1:30" ht="51" x14ac:dyDescent="0.25">
      <c r="A17" s="7">
        <f t="shared" si="0"/>
        <v>6</v>
      </c>
      <c r="B17" s="7" t="s">
        <v>121</v>
      </c>
      <c r="C17" s="7" t="s">
        <v>122</v>
      </c>
      <c r="D17" s="8" t="str">
        <f>INDEX('Summary by Assessment'!$C$5:$C$101,MATCH(C17,'Summary by Assessment'!$B$5:$B$101,0))</f>
        <v>Perth</v>
      </c>
      <c r="E17" s="9" t="s">
        <v>123</v>
      </c>
      <c r="F17" s="9" t="s">
        <v>50</v>
      </c>
      <c r="G17" s="9" t="s">
        <v>51</v>
      </c>
      <c r="H17" s="7" t="s">
        <v>112</v>
      </c>
      <c r="I17" s="7" t="s">
        <v>39</v>
      </c>
      <c r="J17" s="9" t="s">
        <v>102</v>
      </c>
      <c r="K17" s="9" t="s">
        <v>94</v>
      </c>
      <c r="L17" s="9" t="s">
        <v>103</v>
      </c>
      <c r="M17" s="10">
        <v>5</v>
      </c>
      <c r="N17" s="10">
        <v>3</v>
      </c>
      <c r="O17" s="7">
        <f t="shared" si="1"/>
        <v>15</v>
      </c>
      <c r="P17" s="7" t="str">
        <f>INDEX('Scales &amp; Matrix'!$B$13:$F$17,6-N17,M17)</f>
        <v>High</v>
      </c>
      <c r="Q17" s="9" t="s">
        <v>104</v>
      </c>
      <c r="R17" s="10">
        <v>5</v>
      </c>
      <c r="S17" s="10">
        <v>2</v>
      </c>
      <c r="T17" s="7">
        <f t="shared" si="2"/>
        <v>10</v>
      </c>
      <c r="U17" s="7" t="str">
        <f>INDEX('Scales &amp; Matrix'!$B$13:$F$17,6-S17,R17)</f>
        <v>High</v>
      </c>
      <c r="V17" s="11">
        <f t="shared" si="3"/>
        <v>5</v>
      </c>
      <c r="W17" s="12">
        <f t="shared" si="4"/>
        <v>0.33333333333333331</v>
      </c>
      <c r="X17" s="9" t="s">
        <v>97</v>
      </c>
      <c r="Y17" s="7" t="s">
        <v>45</v>
      </c>
      <c r="Z17" s="7" t="s">
        <v>87</v>
      </c>
      <c r="AA17" s="9" t="str">
        <f t="shared" si="5"/>
        <v/>
      </c>
      <c r="AB17" s="13">
        <f t="shared" si="6"/>
        <v>10159983</v>
      </c>
      <c r="AC17" s="13">
        <f t="shared" si="7"/>
        <v>10159983</v>
      </c>
      <c r="AD17" s="13">
        <f t="shared" si="8"/>
        <v>0</v>
      </c>
    </row>
    <row r="18" spans="1:30" ht="51" x14ac:dyDescent="0.25">
      <c r="A18" s="7">
        <f t="shared" si="0"/>
        <v>6</v>
      </c>
      <c r="B18" s="7" t="s">
        <v>124</v>
      </c>
      <c r="C18" s="7" t="s">
        <v>99</v>
      </c>
      <c r="D18" s="8" t="str">
        <f>INDEX('Summary by Assessment'!$C$5:$C$101,MATCH(C18,'Summary by Assessment'!$B$5:$B$101,0))</f>
        <v>Fremantle</v>
      </c>
      <c r="E18" s="9" t="s">
        <v>100</v>
      </c>
      <c r="F18" s="9" t="s">
        <v>50</v>
      </c>
      <c r="G18" s="9" t="s">
        <v>51</v>
      </c>
      <c r="H18" s="7" t="s">
        <v>101</v>
      </c>
      <c r="I18" s="7" t="s">
        <v>62</v>
      </c>
      <c r="J18" s="9" t="s">
        <v>125</v>
      </c>
      <c r="K18" s="9" t="s">
        <v>94</v>
      </c>
      <c r="L18" s="9" t="s">
        <v>126</v>
      </c>
      <c r="M18" s="10">
        <v>5</v>
      </c>
      <c r="N18" s="10">
        <v>2</v>
      </c>
      <c r="O18" s="7">
        <f t="shared" si="1"/>
        <v>10</v>
      </c>
      <c r="P18" s="7" t="str">
        <f>INDEX('Scales &amp; Matrix'!$B$13:$F$17,6-N18,M18)</f>
        <v>High</v>
      </c>
      <c r="Q18" s="9" t="s">
        <v>127</v>
      </c>
      <c r="R18" s="10">
        <v>5</v>
      </c>
      <c r="S18" s="10">
        <v>2</v>
      </c>
      <c r="T18" s="7">
        <f t="shared" si="2"/>
        <v>10</v>
      </c>
      <c r="U18" s="7" t="str">
        <f>INDEX('Scales &amp; Matrix'!$B$13:$F$17,6-S18,R18)</f>
        <v>High</v>
      </c>
      <c r="V18" s="11">
        <f t="shared" si="3"/>
        <v>0</v>
      </c>
      <c r="W18" s="12">
        <f t="shared" si="4"/>
        <v>0</v>
      </c>
      <c r="X18" s="9" t="s">
        <v>105</v>
      </c>
      <c r="Y18" s="7" t="s">
        <v>87</v>
      </c>
      <c r="Z18" s="7" t="s">
        <v>87</v>
      </c>
      <c r="AA18" s="9" t="str">
        <f t="shared" si="5"/>
        <v/>
      </c>
      <c r="AB18" s="13">
        <f t="shared" si="6"/>
        <v>10109982</v>
      </c>
      <c r="AC18" s="13">
        <f t="shared" si="7"/>
        <v>0</v>
      </c>
      <c r="AD18" s="13">
        <f t="shared" si="8"/>
        <v>10109982</v>
      </c>
    </row>
    <row r="19" spans="1:30" ht="51" x14ac:dyDescent="0.25">
      <c r="A19" s="7">
        <f t="shared" si="0"/>
        <v>6</v>
      </c>
      <c r="B19" s="7" t="s">
        <v>128</v>
      </c>
      <c r="C19" s="7" t="s">
        <v>122</v>
      </c>
      <c r="D19" s="8" t="str">
        <f>INDEX('Summary by Assessment'!$C$5:$C$101,MATCH(C19,'Summary by Assessment'!$B$5:$B$101,0))</f>
        <v>Perth</v>
      </c>
      <c r="E19" s="9" t="s">
        <v>123</v>
      </c>
      <c r="F19" s="9" t="s">
        <v>50</v>
      </c>
      <c r="G19" s="9" t="s">
        <v>51</v>
      </c>
      <c r="H19" s="7" t="s">
        <v>112</v>
      </c>
      <c r="I19" s="7" t="s">
        <v>62</v>
      </c>
      <c r="J19" s="9" t="s">
        <v>125</v>
      </c>
      <c r="K19" s="9" t="s">
        <v>94</v>
      </c>
      <c r="L19" s="9" t="s">
        <v>126</v>
      </c>
      <c r="M19" s="10">
        <v>5</v>
      </c>
      <c r="N19" s="10">
        <v>2</v>
      </c>
      <c r="O19" s="7">
        <f t="shared" si="1"/>
        <v>10</v>
      </c>
      <c r="P19" s="7" t="str">
        <f>INDEX('Scales &amp; Matrix'!$B$13:$F$17,6-N19,M19)</f>
        <v>High</v>
      </c>
      <c r="Q19" s="9" t="s">
        <v>127</v>
      </c>
      <c r="R19" s="10">
        <v>5</v>
      </c>
      <c r="S19" s="10">
        <v>2</v>
      </c>
      <c r="T19" s="7">
        <f t="shared" si="2"/>
        <v>10</v>
      </c>
      <c r="U19" s="7" t="str">
        <f>INDEX('Scales &amp; Matrix'!$B$13:$F$17,6-S19,R19)</f>
        <v>High</v>
      </c>
      <c r="V19" s="11">
        <f t="shared" si="3"/>
        <v>0</v>
      </c>
      <c r="W19" s="12">
        <f t="shared" si="4"/>
        <v>0</v>
      </c>
      <c r="X19" s="9" t="s">
        <v>97</v>
      </c>
      <c r="Y19" s="7" t="s">
        <v>87</v>
      </c>
      <c r="Z19" s="7" t="s">
        <v>87</v>
      </c>
      <c r="AA19" s="9" t="str">
        <f t="shared" si="5"/>
        <v/>
      </c>
      <c r="AB19" s="13">
        <f t="shared" si="6"/>
        <v>10109981</v>
      </c>
      <c r="AC19" s="13">
        <f t="shared" si="7"/>
        <v>10109981</v>
      </c>
      <c r="AD19" s="13">
        <f t="shared" si="8"/>
        <v>0</v>
      </c>
    </row>
    <row r="20" spans="1:30" ht="38.25" x14ac:dyDescent="0.25">
      <c r="A20" s="7">
        <f t="shared" si="0"/>
        <v>6</v>
      </c>
      <c r="B20" s="7" t="s">
        <v>129</v>
      </c>
      <c r="C20" s="7" t="s">
        <v>34</v>
      </c>
      <c r="D20" s="8" t="str">
        <f>INDEX('Summary by Assessment'!$C$5:$C$101,MATCH(C20,'Summary by Assessment'!$B$5:$B$101,0))</f>
        <v>Perth</v>
      </c>
      <c r="E20" s="9" t="s">
        <v>35</v>
      </c>
      <c r="F20" s="9" t="s">
        <v>36</v>
      </c>
      <c r="G20" s="9" t="s">
        <v>37</v>
      </c>
      <c r="H20" s="7" t="s">
        <v>38</v>
      </c>
      <c r="I20" s="7" t="s">
        <v>92</v>
      </c>
      <c r="J20" s="9" t="s">
        <v>130</v>
      </c>
      <c r="K20" s="9" t="s">
        <v>131</v>
      </c>
      <c r="L20" s="9" t="s">
        <v>132</v>
      </c>
      <c r="M20" s="10">
        <v>2</v>
      </c>
      <c r="N20" s="10">
        <v>5</v>
      </c>
      <c r="O20" s="7">
        <f t="shared" si="1"/>
        <v>10</v>
      </c>
      <c r="P20" s="7" t="str">
        <f>INDEX('Scales &amp; Matrix'!$B$13:$F$17,6-N20,M20)</f>
        <v>Moderate</v>
      </c>
      <c r="Q20" s="9" t="s">
        <v>133</v>
      </c>
      <c r="R20" s="10">
        <v>2</v>
      </c>
      <c r="S20" s="10">
        <v>5</v>
      </c>
      <c r="T20" s="7">
        <f t="shared" si="2"/>
        <v>10</v>
      </c>
      <c r="U20" s="7" t="str">
        <f>INDEX('Scales &amp; Matrix'!$B$13:$F$17,6-S20,R20)</f>
        <v>Moderate</v>
      </c>
      <c r="V20" s="11">
        <f t="shared" si="3"/>
        <v>0</v>
      </c>
      <c r="W20" s="12">
        <f t="shared" si="4"/>
        <v>0</v>
      </c>
      <c r="X20" s="9" t="s">
        <v>44</v>
      </c>
      <c r="Y20" s="7" t="s">
        <v>134</v>
      </c>
      <c r="Z20" s="7" t="s">
        <v>134</v>
      </c>
      <c r="AA20" s="9" t="str">
        <f t="shared" si="5"/>
        <v/>
      </c>
      <c r="AB20" s="13">
        <f t="shared" si="6"/>
        <v>10109980</v>
      </c>
      <c r="AC20" s="13">
        <f t="shared" si="7"/>
        <v>10109980</v>
      </c>
      <c r="AD20" s="13">
        <f t="shared" si="8"/>
        <v>0</v>
      </c>
    </row>
    <row r="21" spans="1:30" ht="89.25" x14ac:dyDescent="0.25">
      <c r="A21" s="7">
        <f t="shared" si="0"/>
        <v>17</v>
      </c>
      <c r="B21" s="7" t="s">
        <v>135</v>
      </c>
      <c r="C21" s="7" t="s">
        <v>136</v>
      </c>
      <c r="D21" s="8" t="str">
        <f>INDEX('Summary by Assessment'!$C$5:$C$101,MATCH(C21,'Summary by Assessment'!$B$5:$B$101,0))</f>
        <v>Fremantle</v>
      </c>
      <c r="E21" s="9" t="s">
        <v>137</v>
      </c>
      <c r="F21" s="9" t="s">
        <v>36</v>
      </c>
      <c r="G21" s="9" t="s">
        <v>51</v>
      </c>
      <c r="H21" s="7" t="s">
        <v>71</v>
      </c>
      <c r="I21" s="7" t="s">
        <v>39</v>
      </c>
      <c r="J21" s="9" t="s">
        <v>138</v>
      </c>
      <c r="K21" s="9" t="s">
        <v>139</v>
      </c>
      <c r="L21" s="9" t="s">
        <v>140</v>
      </c>
      <c r="M21" s="10">
        <v>4</v>
      </c>
      <c r="N21" s="10">
        <v>4</v>
      </c>
      <c r="O21" s="7">
        <f t="shared" si="1"/>
        <v>16</v>
      </c>
      <c r="P21" s="7" t="str">
        <f>INDEX('Scales &amp; Matrix'!$B$13:$F$17,6-N21,M21)</f>
        <v>High</v>
      </c>
      <c r="Q21" s="9" t="s">
        <v>141</v>
      </c>
      <c r="R21" s="10">
        <v>3</v>
      </c>
      <c r="S21" s="10">
        <v>3</v>
      </c>
      <c r="T21" s="7">
        <f t="shared" si="2"/>
        <v>9</v>
      </c>
      <c r="U21" s="7" t="str">
        <f>INDEX('Scales &amp; Matrix'!$B$13:$F$17,6-S21,R21)</f>
        <v>Moderate</v>
      </c>
      <c r="V21" s="11">
        <f t="shared" si="3"/>
        <v>7</v>
      </c>
      <c r="W21" s="12">
        <f t="shared" si="4"/>
        <v>0.4375</v>
      </c>
      <c r="X21" s="9" t="s">
        <v>67</v>
      </c>
      <c r="Y21" s="7" t="s">
        <v>142</v>
      </c>
      <c r="Z21" s="7" t="s">
        <v>76</v>
      </c>
      <c r="AA21" s="9" t="str">
        <f t="shared" si="5"/>
        <v/>
      </c>
      <c r="AB21" s="13">
        <f t="shared" si="6"/>
        <v>9169979</v>
      </c>
      <c r="AC21" s="13">
        <f t="shared" si="7"/>
        <v>0</v>
      </c>
      <c r="AD21" s="13">
        <f t="shared" si="8"/>
        <v>9169979</v>
      </c>
    </row>
    <row r="22" spans="1:30" ht="51" x14ac:dyDescent="0.25">
      <c r="A22" s="7">
        <f t="shared" si="0"/>
        <v>17</v>
      </c>
      <c r="B22" s="7" t="s">
        <v>143</v>
      </c>
      <c r="C22" s="7" t="s">
        <v>144</v>
      </c>
      <c r="D22" s="8" t="str">
        <f>INDEX('Summary by Assessment'!$C$5:$C$101,MATCH(C22,'Summary by Assessment'!$B$5:$B$101,0))</f>
        <v>Fremantle</v>
      </c>
      <c r="E22" s="9" t="s">
        <v>145</v>
      </c>
      <c r="F22" s="9" t="s">
        <v>50</v>
      </c>
      <c r="G22" s="9" t="s">
        <v>51</v>
      </c>
      <c r="H22" s="7" t="s">
        <v>71</v>
      </c>
      <c r="I22" s="7" t="s">
        <v>92</v>
      </c>
      <c r="J22" s="9" t="s">
        <v>146</v>
      </c>
      <c r="K22" s="9" t="s">
        <v>147</v>
      </c>
      <c r="L22" s="9" t="s">
        <v>148</v>
      </c>
      <c r="M22" s="10">
        <v>4</v>
      </c>
      <c r="N22" s="10">
        <v>4</v>
      </c>
      <c r="O22" s="7">
        <f t="shared" si="1"/>
        <v>16</v>
      </c>
      <c r="P22" s="7" t="str">
        <f>INDEX('Scales &amp; Matrix'!$B$13:$F$17,6-N22,M22)</f>
        <v>High</v>
      </c>
      <c r="Q22" s="9" t="s">
        <v>149</v>
      </c>
      <c r="R22" s="10">
        <v>3</v>
      </c>
      <c r="S22" s="10">
        <v>3</v>
      </c>
      <c r="T22" s="7">
        <f t="shared" si="2"/>
        <v>9</v>
      </c>
      <c r="U22" s="7" t="str">
        <f>INDEX('Scales &amp; Matrix'!$B$13:$F$17,6-S22,R22)</f>
        <v>Moderate</v>
      </c>
      <c r="V22" s="11">
        <f t="shared" si="3"/>
        <v>7</v>
      </c>
      <c r="W22" s="12">
        <f t="shared" si="4"/>
        <v>0.4375</v>
      </c>
      <c r="X22" s="9" t="s">
        <v>67</v>
      </c>
      <c r="Y22" s="7" t="s">
        <v>142</v>
      </c>
      <c r="Z22" s="7" t="s">
        <v>76</v>
      </c>
      <c r="AA22" s="9" t="str">
        <f t="shared" si="5"/>
        <v/>
      </c>
      <c r="AB22" s="13">
        <f t="shared" si="6"/>
        <v>9169978</v>
      </c>
      <c r="AC22" s="13">
        <f t="shared" si="7"/>
        <v>0</v>
      </c>
      <c r="AD22" s="13">
        <f t="shared" si="8"/>
        <v>9169978</v>
      </c>
    </row>
    <row r="23" spans="1:30" ht="51" x14ac:dyDescent="0.25">
      <c r="A23" s="7">
        <f t="shared" si="0"/>
        <v>17</v>
      </c>
      <c r="B23" s="7" t="s">
        <v>150</v>
      </c>
      <c r="C23" s="7" t="s">
        <v>151</v>
      </c>
      <c r="D23" s="8" t="str">
        <f>INDEX('Summary by Assessment'!$C$5:$C$101,MATCH(C23,'Summary by Assessment'!$B$5:$B$101,0))</f>
        <v>Perth</v>
      </c>
      <c r="E23" s="9" t="s">
        <v>145</v>
      </c>
      <c r="F23" s="9" t="s">
        <v>50</v>
      </c>
      <c r="G23" s="9" t="s">
        <v>51</v>
      </c>
      <c r="H23" s="7" t="s">
        <v>52</v>
      </c>
      <c r="I23" s="7" t="s">
        <v>92</v>
      </c>
      <c r="J23" s="9" t="s">
        <v>146</v>
      </c>
      <c r="K23" s="9" t="s">
        <v>147</v>
      </c>
      <c r="L23" s="9" t="s">
        <v>148</v>
      </c>
      <c r="M23" s="10">
        <v>4</v>
      </c>
      <c r="N23" s="10">
        <v>4</v>
      </c>
      <c r="O23" s="7">
        <f t="shared" si="1"/>
        <v>16</v>
      </c>
      <c r="P23" s="7" t="str">
        <f>INDEX('Scales &amp; Matrix'!$B$13:$F$17,6-N23,M23)</f>
        <v>High</v>
      </c>
      <c r="Q23" s="9" t="s">
        <v>149</v>
      </c>
      <c r="R23" s="10">
        <v>3</v>
      </c>
      <c r="S23" s="10">
        <v>3</v>
      </c>
      <c r="T23" s="7">
        <f t="shared" si="2"/>
        <v>9</v>
      </c>
      <c r="U23" s="7" t="str">
        <f>INDEX('Scales &amp; Matrix'!$B$13:$F$17,6-S23,R23)</f>
        <v>Moderate</v>
      </c>
      <c r="V23" s="11">
        <f t="shared" si="3"/>
        <v>7</v>
      </c>
      <c r="W23" s="12">
        <f t="shared" si="4"/>
        <v>0.4375</v>
      </c>
      <c r="X23" s="9" t="s">
        <v>67</v>
      </c>
      <c r="Y23" s="7" t="s">
        <v>142</v>
      </c>
      <c r="Z23" s="7" t="s">
        <v>76</v>
      </c>
      <c r="AA23" s="9" t="str">
        <f t="shared" si="5"/>
        <v/>
      </c>
      <c r="AB23" s="13">
        <f t="shared" si="6"/>
        <v>9169977</v>
      </c>
      <c r="AC23" s="13">
        <f t="shared" si="7"/>
        <v>9169977</v>
      </c>
      <c r="AD23" s="13">
        <f t="shared" si="8"/>
        <v>0</v>
      </c>
    </row>
    <row r="24" spans="1:30" ht="38.25" x14ac:dyDescent="0.25">
      <c r="A24" s="7">
        <f t="shared" si="0"/>
        <v>17</v>
      </c>
      <c r="B24" s="7" t="s">
        <v>152</v>
      </c>
      <c r="C24" s="7" t="s">
        <v>153</v>
      </c>
      <c r="D24" s="8" t="str">
        <f>INDEX('Summary by Assessment'!$C$5:$C$101,MATCH(C24,'Summary by Assessment'!$B$5:$B$101,0))</f>
        <v>Fremantle</v>
      </c>
      <c r="E24" s="9" t="s">
        <v>154</v>
      </c>
      <c r="F24" s="9" t="s">
        <v>155</v>
      </c>
      <c r="G24" s="9" t="s">
        <v>51</v>
      </c>
      <c r="H24" s="7" t="s">
        <v>91</v>
      </c>
      <c r="I24" s="7" t="s">
        <v>39</v>
      </c>
      <c r="J24" s="9" t="s">
        <v>156</v>
      </c>
      <c r="K24" s="9" t="s">
        <v>41</v>
      </c>
      <c r="L24" s="9" t="s">
        <v>157</v>
      </c>
      <c r="M24" s="10">
        <v>5</v>
      </c>
      <c r="N24" s="10">
        <v>3</v>
      </c>
      <c r="O24" s="7">
        <f t="shared" si="1"/>
        <v>15</v>
      </c>
      <c r="P24" s="7" t="str">
        <f>INDEX('Scales &amp; Matrix'!$B$13:$F$17,6-N24,M24)</f>
        <v>High</v>
      </c>
      <c r="Q24" s="9" t="s">
        <v>158</v>
      </c>
      <c r="R24" s="10">
        <v>3</v>
      </c>
      <c r="S24" s="10">
        <v>3</v>
      </c>
      <c r="T24" s="7">
        <f t="shared" si="2"/>
        <v>9</v>
      </c>
      <c r="U24" s="7" t="str">
        <f>INDEX('Scales &amp; Matrix'!$B$13:$F$17,6-S24,R24)</f>
        <v>Moderate</v>
      </c>
      <c r="V24" s="11">
        <f t="shared" si="3"/>
        <v>6</v>
      </c>
      <c r="W24" s="12">
        <f t="shared" si="4"/>
        <v>0.4</v>
      </c>
      <c r="X24" s="9" t="s">
        <v>44</v>
      </c>
      <c r="Y24" s="7" t="s">
        <v>45</v>
      </c>
      <c r="Z24" s="7" t="s">
        <v>76</v>
      </c>
      <c r="AA24" s="9" t="str">
        <f t="shared" si="5"/>
        <v/>
      </c>
      <c r="AB24" s="13">
        <f t="shared" si="6"/>
        <v>9159976</v>
      </c>
      <c r="AC24" s="13">
        <f t="shared" si="7"/>
        <v>0</v>
      </c>
      <c r="AD24" s="13">
        <f t="shared" si="8"/>
        <v>9159976</v>
      </c>
    </row>
    <row r="25" spans="1:30" ht="51" x14ac:dyDescent="0.25">
      <c r="A25" s="7">
        <f t="shared" si="0"/>
        <v>17</v>
      </c>
      <c r="B25" s="7" t="s">
        <v>159</v>
      </c>
      <c r="C25" s="7" t="s">
        <v>160</v>
      </c>
      <c r="D25" s="8" t="str">
        <f>INDEX('Summary by Assessment'!$C$5:$C$101,MATCH(C25,'Summary by Assessment'!$B$5:$B$101,0))</f>
        <v>Fremantle</v>
      </c>
      <c r="E25" s="9" t="s">
        <v>161</v>
      </c>
      <c r="F25" s="9" t="s">
        <v>36</v>
      </c>
      <c r="G25" s="9" t="s">
        <v>51</v>
      </c>
      <c r="H25" s="7" t="s">
        <v>91</v>
      </c>
      <c r="I25" s="7" t="s">
        <v>53</v>
      </c>
      <c r="J25" s="9" t="s">
        <v>162</v>
      </c>
      <c r="K25" s="9" t="s">
        <v>163</v>
      </c>
      <c r="L25" s="9" t="s">
        <v>164</v>
      </c>
      <c r="M25" s="10">
        <v>5</v>
      </c>
      <c r="N25" s="10">
        <v>3</v>
      </c>
      <c r="O25" s="7">
        <f t="shared" si="1"/>
        <v>15</v>
      </c>
      <c r="P25" s="7" t="str">
        <f>INDEX('Scales &amp; Matrix'!$B$13:$F$17,6-N25,M25)</f>
        <v>High</v>
      </c>
      <c r="Q25" s="9" t="s">
        <v>165</v>
      </c>
      <c r="R25" s="10">
        <v>3</v>
      </c>
      <c r="S25" s="10">
        <v>3</v>
      </c>
      <c r="T25" s="7">
        <f t="shared" si="2"/>
        <v>9</v>
      </c>
      <c r="U25" s="7" t="str">
        <f>INDEX('Scales &amp; Matrix'!$B$13:$F$17,6-S25,R25)</f>
        <v>Moderate</v>
      </c>
      <c r="V25" s="11">
        <f t="shared" si="3"/>
        <v>6</v>
      </c>
      <c r="W25" s="12">
        <f t="shared" si="4"/>
        <v>0.4</v>
      </c>
      <c r="X25" s="9" t="s">
        <v>166</v>
      </c>
      <c r="Y25" s="7" t="s">
        <v>45</v>
      </c>
      <c r="Z25" s="7" t="s">
        <v>76</v>
      </c>
      <c r="AA25" s="9" t="str">
        <f t="shared" si="5"/>
        <v/>
      </c>
      <c r="AB25" s="13">
        <f t="shared" si="6"/>
        <v>9159975</v>
      </c>
      <c r="AC25" s="13">
        <f t="shared" si="7"/>
        <v>0</v>
      </c>
      <c r="AD25" s="13">
        <f t="shared" si="8"/>
        <v>9159975</v>
      </c>
    </row>
    <row r="26" spans="1:30" ht="63.75" x14ac:dyDescent="0.25">
      <c r="A26" s="7">
        <f t="shared" si="0"/>
        <v>17</v>
      </c>
      <c r="B26" s="7" t="s">
        <v>167</v>
      </c>
      <c r="C26" s="7" t="s">
        <v>168</v>
      </c>
      <c r="D26" s="8" t="str">
        <f>INDEX('Summary by Assessment'!$C$5:$C$101,MATCH(C26,'Summary by Assessment'!$B$5:$B$101,0))</f>
        <v>Fremantle</v>
      </c>
      <c r="E26" s="9" t="s">
        <v>169</v>
      </c>
      <c r="F26" s="9" t="s">
        <v>170</v>
      </c>
      <c r="G26" s="9" t="s">
        <v>51</v>
      </c>
      <c r="H26" s="7" t="s">
        <v>171</v>
      </c>
      <c r="I26" s="7" t="s">
        <v>39</v>
      </c>
      <c r="J26" s="9" t="s">
        <v>172</v>
      </c>
      <c r="K26" s="9" t="s">
        <v>173</v>
      </c>
      <c r="L26" s="9" t="s">
        <v>174</v>
      </c>
      <c r="M26" s="10">
        <v>5</v>
      </c>
      <c r="N26" s="10">
        <v>3</v>
      </c>
      <c r="O26" s="7">
        <f t="shared" si="1"/>
        <v>15</v>
      </c>
      <c r="P26" s="7" t="str">
        <f>INDEX('Scales &amp; Matrix'!$B$13:$F$17,6-N26,M26)</f>
        <v>High</v>
      </c>
      <c r="Q26" s="9" t="s">
        <v>175</v>
      </c>
      <c r="R26" s="10">
        <v>3</v>
      </c>
      <c r="S26" s="10">
        <v>3</v>
      </c>
      <c r="T26" s="7">
        <f t="shared" si="2"/>
        <v>9</v>
      </c>
      <c r="U26" s="7" t="str">
        <f>INDEX('Scales &amp; Matrix'!$B$13:$F$17,6-S26,R26)</f>
        <v>Moderate</v>
      </c>
      <c r="V26" s="11">
        <f t="shared" si="3"/>
        <v>6</v>
      </c>
      <c r="W26" s="12">
        <f t="shared" si="4"/>
        <v>0.4</v>
      </c>
      <c r="X26" s="9" t="s">
        <v>176</v>
      </c>
      <c r="Y26" s="7" t="s">
        <v>45</v>
      </c>
      <c r="Z26" s="7" t="s">
        <v>76</v>
      </c>
      <c r="AA26" s="9" t="str">
        <f t="shared" si="5"/>
        <v/>
      </c>
      <c r="AB26" s="13">
        <f t="shared" si="6"/>
        <v>9159974</v>
      </c>
      <c r="AC26" s="13">
        <f t="shared" si="7"/>
        <v>0</v>
      </c>
      <c r="AD26" s="13">
        <f t="shared" si="8"/>
        <v>9159974</v>
      </c>
    </row>
    <row r="27" spans="1:30" ht="38.25" x14ac:dyDescent="0.25">
      <c r="A27" s="7">
        <f t="shared" si="0"/>
        <v>17</v>
      </c>
      <c r="B27" s="7" t="s">
        <v>177</v>
      </c>
      <c r="C27" s="7" t="s">
        <v>178</v>
      </c>
      <c r="D27" s="8" t="str">
        <f>INDEX('Summary by Assessment'!$C$5:$C$101,MATCH(C27,'Summary by Assessment'!$B$5:$B$101,0))</f>
        <v>Perth</v>
      </c>
      <c r="E27" s="9" t="s">
        <v>179</v>
      </c>
      <c r="F27" s="9" t="s">
        <v>155</v>
      </c>
      <c r="G27" s="9" t="s">
        <v>180</v>
      </c>
      <c r="H27" s="7" t="s">
        <v>181</v>
      </c>
      <c r="I27" s="7" t="s">
        <v>39</v>
      </c>
      <c r="J27" s="9" t="s">
        <v>156</v>
      </c>
      <c r="K27" s="9" t="s">
        <v>41</v>
      </c>
      <c r="L27" s="9" t="s">
        <v>157</v>
      </c>
      <c r="M27" s="10">
        <v>5</v>
      </c>
      <c r="N27" s="10">
        <v>3</v>
      </c>
      <c r="O27" s="7">
        <f t="shared" si="1"/>
        <v>15</v>
      </c>
      <c r="P27" s="7" t="str">
        <f>INDEX('Scales &amp; Matrix'!$B$13:$F$17,6-N27,M27)</f>
        <v>High</v>
      </c>
      <c r="Q27" s="9" t="s">
        <v>158</v>
      </c>
      <c r="R27" s="10">
        <v>3</v>
      </c>
      <c r="S27" s="10">
        <v>3</v>
      </c>
      <c r="T27" s="7">
        <f t="shared" si="2"/>
        <v>9</v>
      </c>
      <c r="U27" s="7" t="str">
        <f>INDEX('Scales &amp; Matrix'!$B$13:$F$17,6-S27,R27)</f>
        <v>Moderate</v>
      </c>
      <c r="V27" s="11">
        <f t="shared" si="3"/>
        <v>6</v>
      </c>
      <c r="W27" s="12">
        <f t="shared" si="4"/>
        <v>0.4</v>
      </c>
      <c r="X27" s="9" t="s">
        <v>44</v>
      </c>
      <c r="Y27" s="7" t="s">
        <v>45</v>
      </c>
      <c r="Z27" s="7" t="s">
        <v>76</v>
      </c>
      <c r="AA27" s="9" t="str">
        <f t="shared" si="5"/>
        <v/>
      </c>
      <c r="AB27" s="13">
        <f t="shared" si="6"/>
        <v>9159973</v>
      </c>
      <c r="AC27" s="13">
        <f t="shared" si="7"/>
        <v>9159973</v>
      </c>
      <c r="AD27" s="13">
        <f t="shared" si="8"/>
        <v>0</v>
      </c>
    </row>
    <row r="28" spans="1:30" ht="89.25" x14ac:dyDescent="0.25">
      <c r="A28" s="7">
        <f t="shared" si="0"/>
        <v>17</v>
      </c>
      <c r="B28" s="7" t="s">
        <v>182</v>
      </c>
      <c r="C28" s="7" t="s">
        <v>136</v>
      </c>
      <c r="D28" s="8" t="str">
        <f>INDEX('Summary by Assessment'!$C$5:$C$101,MATCH(C28,'Summary by Assessment'!$B$5:$B$101,0))</f>
        <v>Fremantle</v>
      </c>
      <c r="E28" s="9" t="s">
        <v>137</v>
      </c>
      <c r="F28" s="9" t="s">
        <v>36</v>
      </c>
      <c r="G28" s="9" t="s">
        <v>51</v>
      </c>
      <c r="H28" s="7" t="s">
        <v>71</v>
      </c>
      <c r="I28" s="7" t="s">
        <v>53</v>
      </c>
      <c r="J28" s="9" t="s">
        <v>183</v>
      </c>
      <c r="K28" s="9" t="s">
        <v>184</v>
      </c>
      <c r="L28" s="9" t="s">
        <v>185</v>
      </c>
      <c r="M28" s="10">
        <v>4</v>
      </c>
      <c r="N28" s="10">
        <v>3</v>
      </c>
      <c r="O28" s="7">
        <f t="shared" si="1"/>
        <v>12</v>
      </c>
      <c r="P28" s="7" t="str">
        <f>INDEX('Scales &amp; Matrix'!$B$13:$F$17,6-N28,M28)</f>
        <v>High</v>
      </c>
      <c r="Q28" s="9" t="s">
        <v>186</v>
      </c>
      <c r="R28" s="10">
        <v>3</v>
      </c>
      <c r="S28" s="10">
        <v>3</v>
      </c>
      <c r="T28" s="7">
        <f t="shared" si="2"/>
        <v>9</v>
      </c>
      <c r="U28" s="7" t="str">
        <f>INDEX('Scales &amp; Matrix'!$B$13:$F$17,6-S28,R28)</f>
        <v>Moderate</v>
      </c>
      <c r="V28" s="11">
        <f t="shared" si="3"/>
        <v>3</v>
      </c>
      <c r="W28" s="12">
        <f t="shared" si="4"/>
        <v>0.25</v>
      </c>
      <c r="X28" s="9" t="s">
        <v>67</v>
      </c>
      <c r="Y28" s="7" t="s">
        <v>46</v>
      </c>
      <c r="Z28" s="7" t="s">
        <v>76</v>
      </c>
      <c r="AA28" s="9" t="str">
        <f t="shared" si="5"/>
        <v/>
      </c>
      <c r="AB28" s="13">
        <f t="shared" si="6"/>
        <v>9129972</v>
      </c>
      <c r="AC28" s="13">
        <f t="shared" si="7"/>
        <v>0</v>
      </c>
      <c r="AD28" s="13">
        <f t="shared" si="8"/>
        <v>9129972</v>
      </c>
    </row>
    <row r="29" spans="1:30" ht="51" x14ac:dyDescent="0.25">
      <c r="A29" s="7">
        <f t="shared" si="0"/>
        <v>17</v>
      </c>
      <c r="B29" s="7" t="s">
        <v>187</v>
      </c>
      <c r="C29" s="7" t="s">
        <v>80</v>
      </c>
      <c r="D29" s="8" t="str">
        <f>INDEX('Summary by Assessment'!$C$5:$C$101,MATCH(C29,'Summary by Assessment'!$B$5:$B$101,0))</f>
        <v>Fremantle</v>
      </c>
      <c r="E29" s="9" t="s">
        <v>81</v>
      </c>
      <c r="F29" s="9" t="s">
        <v>50</v>
      </c>
      <c r="G29" s="9" t="s">
        <v>51</v>
      </c>
      <c r="H29" s="7" t="s">
        <v>71</v>
      </c>
      <c r="I29" s="7" t="s">
        <v>39</v>
      </c>
      <c r="J29" s="9" t="s">
        <v>188</v>
      </c>
      <c r="K29" s="9" t="s">
        <v>189</v>
      </c>
      <c r="L29" s="9" t="s">
        <v>190</v>
      </c>
      <c r="M29" s="10">
        <v>4</v>
      </c>
      <c r="N29" s="10">
        <v>3</v>
      </c>
      <c r="O29" s="7">
        <f t="shared" si="1"/>
        <v>12</v>
      </c>
      <c r="P29" s="7" t="str">
        <f>INDEX('Scales &amp; Matrix'!$B$13:$F$17,6-N29,M29)</f>
        <v>High</v>
      </c>
      <c r="Q29" s="9" t="s">
        <v>191</v>
      </c>
      <c r="R29" s="10">
        <v>3</v>
      </c>
      <c r="S29" s="10">
        <v>3</v>
      </c>
      <c r="T29" s="7">
        <f t="shared" si="2"/>
        <v>9</v>
      </c>
      <c r="U29" s="7" t="str">
        <f>INDEX('Scales &amp; Matrix'!$B$13:$F$17,6-S29,R29)</f>
        <v>Moderate</v>
      </c>
      <c r="V29" s="11">
        <f t="shared" si="3"/>
        <v>3</v>
      </c>
      <c r="W29" s="12">
        <f t="shared" si="4"/>
        <v>0.25</v>
      </c>
      <c r="X29" s="9" t="s">
        <v>192</v>
      </c>
      <c r="Y29" s="7" t="s">
        <v>46</v>
      </c>
      <c r="Z29" s="7" t="s">
        <v>76</v>
      </c>
      <c r="AA29" s="9" t="str">
        <f t="shared" si="5"/>
        <v/>
      </c>
      <c r="AB29" s="13">
        <f t="shared" si="6"/>
        <v>9129971</v>
      </c>
      <c r="AC29" s="13">
        <f t="shared" si="7"/>
        <v>0</v>
      </c>
      <c r="AD29" s="13">
        <f t="shared" si="8"/>
        <v>9129971</v>
      </c>
    </row>
    <row r="30" spans="1:30" ht="76.5" x14ac:dyDescent="0.25">
      <c r="A30" s="7">
        <f t="shared" si="0"/>
        <v>17</v>
      </c>
      <c r="B30" s="7" t="s">
        <v>193</v>
      </c>
      <c r="C30" s="7" t="s">
        <v>194</v>
      </c>
      <c r="D30" s="8" t="str">
        <f>INDEX('Summary by Assessment'!$C$5:$C$101,MATCH(C30,'Summary by Assessment'!$B$5:$B$101,0))</f>
        <v>Fremantle</v>
      </c>
      <c r="E30" s="9" t="s">
        <v>61</v>
      </c>
      <c r="F30" s="9" t="s">
        <v>36</v>
      </c>
      <c r="G30" s="9" t="s">
        <v>51</v>
      </c>
      <c r="H30" s="7" t="s">
        <v>71</v>
      </c>
      <c r="I30" s="7" t="s">
        <v>53</v>
      </c>
      <c r="J30" s="9" t="s">
        <v>195</v>
      </c>
      <c r="K30" s="9" t="s">
        <v>196</v>
      </c>
      <c r="L30" s="9" t="s">
        <v>197</v>
      </c>
      <c r="M30" s="10">
        <v>4</v>
      </c>
      <c r="N30" s="10">
        <v>3</v>
      </c>
      <c r="O30" s="7">
        <f t="shared" si="1"/>
        <v>12</v>
      </c>
      <c r="P30" s="7" t="str">
        <f>INDEX('Scales &amp; Matrix'!$B$13:$F$17,6-N30,M30)</f>
        <v>High</v>
      </c>
      <c r="Q30" s="9" t="s">
        <v>198</v>
      </c>
      <c r="R30" s="10">
        <v>3</v>
      </c>
      <c r="S30" s="10">
        <v>3</v>
      </c>
      <c r="T30" s="7">
        <f t="shared" si="2"/>
        <v>9</v>
      </c>
      <c r="U30" s="7" t="str">
        <f>INDEX('Scales &amp; Matrix'!$B$13:$F$17,6-S30,R30)</f>
        <v>Moderate</v>
      </c>
      <c r="V30" s="11">
        <f t="shared" si="3"/>
        <v>3</v>
      </c>
      <c r="W30" s="12">
        <f t="shared" si="4"/>
        <v>0.25</v>
      </c>
      <c r="X30" s="9" t="s">
        <v>199</v>
      </c>
      <c r="Y30" s="7" t="s">
        <v>46</v>
      </c>
      <c r="Z30" s="7" t="s">
        <v>76</v>
      </c>
      <c r="AA30" s="9" t="str">
        <f t="shared" si="5"/>
        <v/>
      </c>
      <c r="AB30" s="13">
        <f t="shared" si="6"/>
        <v>9129970</v>
      </c>
      <c r="AC30" s="13">
        <f t="shared" si="7"/>
        <v>0</v>
      </c>
      <c r="AD30" s="13">
        <f t="shared" si="8"/>
        <v>9129970</v>
      </c>
    </row>
    <row r="31" spans="1:30" ht="63.75" x14ac:dyDescent="0.25">
      <c r="A31" s="7">
        <f t="shared" si="0"/>
        <v>17</v>
      </c>
      <c r="B31" s="7" t="s">
        <v>200</v>
      </c>
      <c r="C31" s="7" t="s">
        <v>201</v>
      </c>
      <c r="D31" s="8" t="str">
        <f>INDEX('Summary by Assessment'!$C$5:$C$101,MATCH(C31,'Summary by Assessment'!$B$5:$B$101,0))</f>
        <v>Fremantle</v>
      </c>
      <c r="E31" s="9" t="s">
        <v>202</v>
      </c>
      <c r="F31" s="9" t="s">
        <v>50</v>
      </c>
      <c r="G31" s="9" t="s">
        <v>51</v>
      </c>
      <c r="H31" s="7" t="s">
        <v>71</v>
      </c>
      <c r="I31" s="7" t="s">
        <v>39</v>
      </c>
      <c r="J31" s="9" t="s">
        <v>203</v>
      </c>
      <c r="K31" s="9" t="s">
        <v>204</v>
      </c>
      <c r="L31" s="9" t="s">
        <v>205</v>
      </c>
      <c r="M31" s="10">
        <v>3</v>
      </c>
      <c r="N31" s="10">
        <v>4</v>
      </c>
      <c r="O31" s="7">
        <f t="shared" si="1"/>
        <v>12</v>
      </c>
      <c r="P31" s="7" t="str">
        <f>INDEX('Scales &amp; Matrix'!$B$13:$F$17,6-N31,M31)</f>
        <v>High</v>
      </c>
      <c r="Q31" s="9" t="s">
        <v>206</v>
      </c>
      <c r="R31" s="10">
        <v>3</v>
      </c>
      <c r="S31" s="10">
        <v>3</v>
      </c>
      <c r="T31" s="7">
        <f t="shared" si="2"/>
        <v>9</v>
      </c>
      <c r="U31" s="7" t="str">
        <f>INDEX('Scales &amp; Matrix'!$B$13:$F$17,6-S31,R31)</f>
        <v>Moderate</v>
      </c>
      <c r="V31" s="11">
        <f t="shared" si="3"/>
        <v>3</v>
      </c>
      <c r="W31" s="12">
        <f t="shared" si="4"/>
        <v>0.25</v>
      </c>
      <c r="X31" s="9" t="s">
        <v>166</v>
      </c>
      <c r="Y31" s="7" t="s">
        <v>46</v>
      </c>
      <c r="Z31" s="7" t="s">
        <v>76</v>
      </c>
      <c r="AA31" s="9" t="str">
        <f t="shared" si="5"/>
        <v/>
      </c>
      <c r="AB31" s="13">
        <f t="shared" si="6"/>
        <v>9129969</v>
      </c>
      <c r="AC31" s="13">
        <f t="shared" si="7"/>
        <v>0</v>
      </c>
      <c r="AD31" s="13">
        <f t="shared" si="8"/>
        <v>9129969</v>
      </c>
    </row>
    <row r="32" spans="1:30" ht="127.5" x14ac:dyDescent="0.25">
      <c r="A32" s="7">
        <f t="shared" si="0"/>
        <v>17</v>
      </c>
      <c r="B32" s="7" t="s">
        <v>207</v>
      </c>
      <c r="C32" s="7" t="s">
        <v>208</v>
      </c>
      <c r="D32" s="8" t="str">
        <f>INDEX('Summary by Assessment'!$C$5:$C$101,MATCH(C32,'Summary by Assessment'!$B$5:$B$101,0))</f>
        <v>Perth</v>
      </c>
      <c r="E32" s="9" t="s">
        <v>209</v>
      </c>
      <c r="F32" s="9" t="s">
        <v>155</v>
      </c>
      <c r="G32" s="9" t="s">
        <v>210</v>
      </c>
      <c r="H32" s="7" t="s">
        <v>211</v>
      </c>
      <c r="I32" s="7" t="s">
        <v>53</v>
      </c>
      <c r="J32" s="9" t="s">
        <v>212</v>
      </c>
      <c r="K32" s="9" t="s">
        <v>41</v>
      </c>
      <c r="L32" s="9" t="s">
        <v>213</v>
      </c>
      <c r="M32" s="10">
        <v>3</v>
      </c>
      <c r="N32" s="10">
        <v>4</v>
      </c>
      <c r="O32" s="7">
        <f t="shared" si="1"/>
        <v>12</v>
      </c>
      <c r="P32" s="7" t="str">
        <f>INDEX('Scales &amp; Matrix'!$B$13:$F$17,6-N32,M32)</f>
        <v>High</v>
      </c>
      <c r="Q32" s="9" t="s">
        <v>214</v>
      </c>
      <c r="R32" s="10">
        <v>3</v>
      </c>
      <c r="S32" s="10">
        <v>3</v>
      </c>
      <c r="T32" s="7">
        <f t="shared" si="2"/>
        <v>9</v>
      </c>
      <c r="U32" s="7" t="str">
        <f>INDEX('Scales &amp; Matrix'!$B$13:$F$17,6-S32,R32)</f>
        <v>Moderate</v>
      </c>
      <c r="V32" s="11">
        <f t="shared" si="3"/>
        <v>3</v>
      </c>
      <c r="W32" s="12">
        <f t="shared" si="4"/>
        <v>0.25</v>
      </c>
      <c r="X32" s="9" t="s">
        <v>215</v>
      </c>
      <c r="Y32" s="7" t="s">
        <v>46</v>
      </c>
      <c r="Z32" s="7" t="s">
        <v>76</v>
      </c>
      <c r="AA32" s="9" t="str">
        <f t="shared" si="5"/>
        <v/>
      </c>
      <c r="AB32" s="13">
        <f t="shared" si="6"/>
        <v>9129968</v>
      </c>
      <c r="AC32" s="13">
        <f t="shared" si="7"/>
        <v>9129968</v>
      </c>
      <c r="AD32" s="13">
        <f t="shared" si="8"/>
        <v>0</v>
      </c>
    </row>
    <row r="33" spans="1:30" ht="51" x14ac:dyDescent="0.25">
      <c r="A33" s="7">
        <f t="shared" si="0"/>
        <v>17</v>
      </c>
      <c r="B33" s="7" t="s">
        <v>216</v>
      </c>
      <c r="C33" s="7" t="s">
        <v>117</v>
      </c>
      <c r="D33" s="8" t="str">
        <f>INDEX('Summary by Assessment'!$C$5:$C$101,MATCH(C33,'Summary by Assessment'!$B$5:$B$101,0))</f>
        <v>Perth</v>
      </c>
      <c r="E33" s="9" t="s">
        <v>81</v>
      </c>
      <c r="F33" s="9" t="s">
        <v>50</v>
      </c>
      <c r="G33" s="9" t="s">
        <v>51</v>
      </c>
      <c r="H33" s="7" t="s">
        <v>52</v>
      </c>
      <c r="I33" s="7" t="s">
        <v>39</v>
      </c>
      <c r="J33" s="9" t="s">
        <v>188</v>
      </c>
      <c r="K33" s="9" t="s">
        <v>189</v>
      </c>
      <c r="L33" s="9" t="s">
        <v>190</v>
      </c>
      <c r="M33" s="10">
        <v>4</v>
      </c>
      <c r="N33" s="10">
        <v>3</v>
      </c>
      <c r="O33" s="7">
        <f t="shared" si="1"/>
        <v>12</v>
      </c>
      <c r="P33" s="7" t="str">
        <f>INDEX('Scales &amp; Matrix'!$B$13:$F$17,6-N33,M33)</f>
        <v>High</v>
      </c>
      <c r="Q33" s="9" t="s">
        <v>191</v>
      </c>
      <c r="R33" s="10">
        <v>3</v>
      </c>
      <c r="S33" s="10">
        <v>3</v>
      </c>
      <c r="T33" s="7">
        <f t="shared" si="2"/>
        <v>9</v>
      </c>
      <c r="U33" s="7" t="str">
        <f>INDEX('Scales &amp; Matrix'!$B$13:$F$17,6-S33,R33)</f>
        <v>Moderate</v>
      </c>
      <c r="V33" s="11">
        <f t="shared" si="3"/>
        <v>3</v>
      </c>
      <c r="W33" s="12">
        <f t="shared" si="4"/>
        <v>0.25</v>
      </c>
      <c r="X33" s="9" t="s">
        <v>192</v>
      </c>
      <c r="Y33" s="7" t="s">
        <v>46</v>
      </c>
      <c r="Z33" s="7" t="s">
        <v>76</v>
      </c>
      <c r="AA33" s="9" t="str">
        <f t="shared" si="5"/>
        <v/>
      </c>
      <c r="AB33" s="13">
        <f t="shared" si="6"/>
        <v>9129967</v>
      </c>
      <c r="AC33" s="13">
        <f t="shared" si="7"/>
        <v>9129967</v>
      </c>
      <c r="AD33" s="13">
        <f t="shared" si="8"/>
        <v>0</v>
      </c>
    </row>
    <row r="34" spans="1:30" ht="51" x14ac:dyDescent="0.25">
      <c r="A34" s="7">
        <f t="shared" si="0"/>
        <v>17</v>
      </c>
      <c r="B34" s="7" t="s">
        <v>217</v>
      </c>
      <c r="C34" s="7" t="s">
        <v>117</v>
      </c>
      <c r="D34" s="8" t="str">
        <f>INDEX('Summary by Assessment'!$C$5:$C$101,MATCH(C34,'Summary by Assessment'!$B$5:$B$101,0))</f>
        <v>Perth</v>
      </c>
      <c r="E34" s="9" t="s">
        <v>81</v>
      </c>
      <c r="F34" s="9" t="s">
        <v>50</v>
      </c>
      <c r="G34" s="9" t="s">
        <v>51</v>
      </c>
      <c r="H34" s="7" t="s">
        <v>52</v>
      </c>
      <c r="I34" s="7" t="s">
        <v>218</v>
      </c>
      <c r="J34" s="9" t="s">
        <v>219</v>
      </c>
      <c r="K34" s="9" t="s">
        <v>163</v>
      </c>
      <c r="L34" s="9" t="s">
        <v>219</v>
      </c>
      <c r="M34" s="10">
        <v>4</v>
      </c>
      <c r="N34" s="10">
        <v>3</v>
      </c>
      <c r="O34" s="7">
        <f t="shared" si="1"/>
        <v>12</v>
      </c>
      <c r="P34" s="7" t="str">
        <f>INDEX('Scales &amp; Matrix'!$B$13:$F$17,6-N34,M34)</f>
        <v>High</v>
      </c>
      <c r="Q34" s="9" t="s">
        <v>220</v>
      </c>
      <c r="R34" s="10">
        <v>3</v>
      </c>
      <c r="S34" s="10">
        <v>3</v>
      </c>
      <c r="T34" s="7">
        <f t="shared" si="2"/>
        <v>9</v>
      </c>
      <c r="U34" s="7" t="str">
        <f>INDEX('Scales &amp; Matrix'!$B$13:$F$17,6-S34,R34)</f>
        <v>Moderate</v>
      </c>
      <c r="V34" s="11">
        <f t="shared" si="3"/>
        <v>3</v>
      </c>
      <c r="W34" s="12">
        <f t="shared" si="4"/>
        <v>0.25</v>
      </c>
      <c r="X34" s="9" t="s">
        <v>221</v>
      </c>
      <c r="Y34" s="7" t="s">
        <v>46</v>
      </c>
      <c r="Z34" s="7" t="s">
        <v>76</v>
      </c>
      <c r="AA34" s="9" t="str">
        <f t="shared" si="5"/>
        <v/>
      </c>
      <c r="AB34" s="13">
        <f t="shared" si="6"/>
        <v>9129966</v>
      </c>
      <c r="AC34" s="13">
        <f t="shared" si="7"/>
        <v>9129966</v>
      </c>
      <c r="AD34" s="13">
        <f t="shared" si="8"/>
        <v>0</v>
      </c>
    </row>
    <row r="35" spans="1:30" ht="76.5" x14ac:dyDescent="0.25">
      <c r="A35" s="7">
        <f t="shared" si="0"/>
        <v>17</v>
      </c>
      <c r="B35" s="7" t="s">
        <v>222</v>
      </c>
      <c r="C35" s="7" t="s">
        <v>60</v>
      </c>
      <c r="D35" s="8" t="str">
        <f>INDEX('Summary by Assessment'!$C$5:$C$101,MATCH(C35,'Summary by Assessment'!$B$5:$B$101,0))</f>
        <v>Perth</v>
      </c>
      <c r="E35" s="9" t="s">
        <v>61</v>
      </c>
      <c r="F35" s="9" t="s">
        <v>36</v>
      </c>
      <c r="G35" s="9" t="s">
        <v>51</v>
      </c>
      <c r="H35" s="7" t="s">
        <v>52</v>
      </c>
      <c r="I35" s="7" t="s">
        <v>53</v>
      </c>
      <c r="J35" s="9" t="s">
        <v>195</v>
      </c>
      <c r="K35" s="9" t="s">
        <v>196</v>
      </c>
      <c r="L35" s="9" t="s">
        <v>197</v>
      </c>
      <c r="M35" s="10">
        <v>4</v>
      </c>
      <c r="N35" s="10">
        <v>3</v>
      </c>
      <c r="O35" s="7">
        <f t="shared" si="1"/>
        <v>12</v>
      </c>
      <c r="P35" s="7" t="str">
        <f>INDEX('Scales &amp; Matrix'!$B$13:$F$17,6-N35,M35)</f>
        <v>High</v>
      </c>
      <c r="Q35" s="9" t="s">
        <v>198</v>
      </c>
      <c r="R35" s="10">
        <v>3</v>
      </c>
      <c r="S35" s="10">
        <v>3</v>
      </c>
      <c r="T35" s="7">
        <f t="shared" si="2"/>
        <v>9</v>
      </c>
      <c r="U35" s="7" t="str">
        <f>INDEX('Scales &amp; Matrix'!$B$13:$F$17,6-S35,R35)</f>
        <v>Moderate</v>
      </c>
      <c r="V35" s="11">
        <f t="shared" si="3"/>
        <v>3</v>
      </c>
      <c r="W35" s="12">
        <f t="shared" si="4"/>
        <v>0.25</v>
      </c>
      <c r="X35" s="9" t="s">
        <v>199</v>
      </c>
      <c r="Y35" s="7" t="s">
        <v>46</v>
      </c>
      <c r="Z35" s="7" t="s">
        <v>76</v>
      </c>
      <c r="AA35" s="9" t="str">
        <f t="shared" si="5"/>
        <v/>
      </c>
      <c r="AB35" s="13">
        <f t="shared" si="6"/>
        <v>9129965</v>
      </c>
      <c r="AC35" s="13">
        <f t="shared" si="7"/>
        <v>9129965</v>
      </c>
      <c r="AD35" s="13">
        <f t="shared" si="8"/>
        <v>0</v>
      </c>
    </row>
    <row r="36" spans="1:30" ht="63.75" x14ac:dyDescent="0.25">
      <c r="A36" s="7">
        <f t="shared" si="0"/>
        <v>17</v>
      </c>
      <c r="B36" s="7" t="s">
        <v>223</v>
      </c>
      <c r="C36" s="7" t="s">
        <v>60</v>
      </c>
      <c r="D36" s="8" t="str">
        <f>INDEX('Summary by Assessment'!$C$5:$C$101,MATCH(C36,'Summary by Assessment'!$B$5:$B$101,0))</f>
        <v>Perth</v>
      </c>
      <c r="E36" s="9" t="s">
        <v>61</v>
      </c>
      <c r="F36" s="9" t="s">
        <v>36</v>
      </c>
      <c r="G36" s="9" t="s">
        <v>51</v>
      </c>
      <c r="H36" s="7" t="s">
        <v>52</v>
      </c>
      <c r="I36" s="7" t="s">
        <v>218</v>
      </c>
      <c r="J36" s="9" t="s">
        <v>224</v>
      </c>
      <c r="K36" s="9" t="s">
        <v>225</v>
      </c>
      <c r="L36" s="9" t="s">
        <v>226</v>
      </c>
      <c r="M36" s="10">
        <v>4</v>
      </c>
      <c r="N36" s="10">
        <v>3</v>
      </c>
      <c r="O36" s="7">
        <f t="shared" si="1"/>
        <v>12</v>
      </c>
      <c r="P36" s="7" t="str">
        <f>INDEX('Scales &amp; Matrix'!$B$13:$F$17,6-N36,M36)</f>
        <v>High</v>
      </c>
      <c r="Q36" s="9" t="s">
        <v>227</v>
      </c>
      <c r="R36" s="10">
        <v>3</v>
      </c>
      <c r="S36" s="10">
        <v>3</v>
      </c>
      <c r="T36" s="7">
        <f t="shared" si="2"/>
        <v>9</v>
      </c>
      <c r="U36" s="7" t="str">
        <f>INDEX('Scales &amp; Matrix'!$B$13:$F$17,6-S36,R36)</f>
        <v>Moderate</v>
      </c>
      <c r="V36" s="11">
        <f t="shared" si="3"/>
        <v>3</v>
      </c>
      <c r="W36" s="12">
        <f t="shared" si="4"/>
        <v>0.25</v>
      </c>
      <c r="X36" s="9" t="s">
        <v>228</v>
      </c>
      <c r="Y36" s="7" t="s">
        <v>46</v>
      </c>
      <c r="Z36" s="7" t="s">
        <v>76</v>
      </c>
      <c r="AA36" s="9" t="str">
        <f t="shared" si="5"/>
        <v/>
      </c>
      <c r="AB36" s="13">
        <f t="shared" si="6"/>
        <v>9129964</v>
      </c>
      <c r="AC36" s="13">
        <f t="shared" si="7"/>
        <v>9129964</v>
      </c>
      <c r="AD36" s="13">
        <f t="shared" si="8"/>
        <v>0</v>
      </c>
    </row>
    <row r="37" spans="1:30" ht="63.75" x14ac:dyDescent="0.25">
      <c r="A37" s="7">
        <f t="shared" si="0"/>
        <v>17</v>
      </c>
      <c r="B37" s="7" t="s">
        <v>229</v>
      </c>
      <c r="C37" s="7" t="s">
        <v>230</v>
      </c>
      <c r="D37" s="8" t="str">
        <f>INDEX('Summary by Assessment'!$C$5:$C$101,MATCH(C37,'Summary by Assessment'!$B$5:$B$101,0))</f>
        <v>Perth</v>
      </c>
      <c r="E37" s="9" t="s">
        <v>231</v>
      </c>
      <c r="F37" s="9" t="s">
        <v>232</v>
      </c>
      <c r="G37" s="9" t="s">
        <v>51</v>
      </c>
      <c r="H37" s="7" t="s">
        <v>233</v>
      </c>
      <c r="I37" s="7" t="s">
        <v>53</v>
      </c>
      <c r="J37" s="9" t="s">
        <v>234</v>
      </c>
      <c r="K37" s="9" t="s">
        <v>235</v>
      </c>
      <c r="L37" s="9" t="s">
        <v>236</v>
      </c>
      <c r="M37" s="10">
        <v>4</v>
      </c>
      <c r="N37" s="10">
        <v>3</v>
      </c>
      <c r="O37" s="7">
        <f t="shared" si="1"/>
        <v>12</v>
      </c>
      <c r="P37" s="7" t="str">
        <f>INDEX('Scales &amp; Matrix'!$B$13:$F$17,6-N37,M37)</f>
        <v>High</v>
      </c>
      <c r="Q37" s="9" t="s">
        <v>237</v>
      </c>
      <c r="R37" s="10">
        <v>3</v>
      </c>
      <c r="S37" s="10">
        <v>3</v>
      </c>
      <c r="T37" s="7">
        <f t="shared" si="2"/>
        <v>9</v>
      </c>
      <c r="U37" s="7" t="str">
        <f>INDEX('Scales &amp; Matrix'!$B$13:$F$17,6-S37,R37)</f>
        <v>Moderate</v>
      </c>
      <c r="V37" s="11">
        <f t="shared" si="3"/>
        <v>3</v>
      </c>
      <c r="W37" s="12">
        <f t="shared" si="4"/>
        <v>0.25</v>
      </c>
      <c r="X37" s="9" t="s">
        <v>97</v>
      </c>
      <c r="Y37" s="7" t="s">
        <v>46</v>
      </c>
      <c r="Z37" s="7" t="s">
        <v>76</v>
      </c>
      <c r="AA37" s="9" t="str">
        <f t="shared" si="5"/>
        <v/>
      </c>
      <c r="AB37" s="13">
        <f t="shared" si="6"/>
        <v>9129963</v>
      </c>
      <c r="AC37" s="13">
        <f t="shared" si="7"/>
        <v>9129963</v>
      </c>
      <c r="AD37" s="13">
        <f t="shared" si="8"/>
        <v>0</v>
      </c>
    </row>
    <row r="38" spans="1:30" ht="63.75" x14ac:dyDescent="0.25">
      <c r="A38" s="7">
        <f t="shared" si="0"/>
        <v>17</v>
      </c>
      <c r="B38" s="7" t="s">
        <v>238</v>
      </c>
      <c r="C38" s="7" t="s">
        <v>239</v>
      </c>
      <c r="D38" s="8" t="str">
        <f>INDEX('Summary by Assessment'!$C$5:$C$101,MATCH(C38,'Summary by Assessment'!$B$5:$B$101,0))</f>
        <v>Perth</v>
      </c>
      <c r="E38" s="9" t="s">
        <v>202</v>
      </c>
      <c r="F38" s="9" t="s">
        <v>50</v>
      </c>
      <c r="G38" s="9" t="s">
        <v>51</v>
      </c>
      <c r="H38" s="7" t="s">
        <v>52</v>
      </c>
      <c r="I38" s="7" t="s">
        <v>39</v>
      </c>
      <c r="J38" s="9" t="s">
        <v>203</v>
      </c>
      <c r="K38" s="9" t="s">
        <v>204</v>
      </c>
      <c r="L38" s="9" t="s">
        <v>205</v>
      </c>
      <c r="M38" s="10">
        <v>3</v>
      </c>
      <c r="N38" s="10">
        <v>4</v>
      </c>
      <c r="O38" s="7">
        <f t="shared" si="1"/>
        <v>12</v>
      </c>
      <c r="P38" s="7" t="str">
        <f>INDEX('Scales &amp; Matrix'!$B$13:$F$17,6-N38,M38)</f>
        <v>High</v>
      </c>
      <c r="Q38" s="9" t="s">
        <v>206</v>
      </c>
      <c r="R38" s="10">
        <v>3</v>
      </c>
      <c r="S38" s="10">
        <v>3</v>
      </c>
      <c r="T38" s="7">
        <f t="shared" si="2"/>
        <v>9</v>
      </c>
      <c r="U38" s="7" t="str">
        <f>INDEX('Scales &amp; Matrix'!$B$13:$F$17,6-S38,R38)</f>
        <v>Moderate</v>
      </c>
      <c r="V38" s="11">
        <f t="shared" si="3"/>
        <v>3</v>
      </c>
      <c r="W38" s="12">
        <f t="shared" si="4"/>
        <v>0.25</v>
      </c>
      <c r="X38" s="9" t="s">
        <v>166</v>
      </c>
      <c r="Y38" s="7" t="s">
        <v>46</v>
      </c>
      <c r="Z38" s="7" t="s">
        <v>76</v>
      </c>
      <c r="AA38" s="9" t="str">
        <f t="shared" si="5"/>
        <v/>
      </c>
      <c r="AB38" s="13">
        <f t="shared" si="6"/>
        <v>9129962</v>
      </c>
      <c r="AC38" s="13">
        <f t="shared" si="7"/>
        <v>9129962</v>
      </c>
      <c r="AD38" s="13">
        <f t="shared" si="8"/>
        <v>0</v>
      </c>
    </row>
    <row r="39" spans="1:30" ht="51" x14ac:dyDescent="0.25">
      <c r="A39" s="7">
        <f t="shared" si="0"/>
        <v>17</v>
      </c>
      <c r="B39" s="7" t="s">
        <v>240</v>
      </c>
      <c r="C39" s="7" t="s">
        <v>168</v>
      </c>
      <c r="D39" s="8" t="str">
        <f>INDEX('Summary by Assessment'!$C$5:$C$101,MATCH(C39,'Summary by Assessment'!$B$5:$B$101,0))</f>
        <v>Fremantle</v>
      </c>
      <c r="E39" s="9" t="s">
        <v>169</v>
      </c>
      <c r="F39" s="9" t="s">
        <v>170</v>
      </c>
      <c r="G39" s="9" t="s">
        <v>51</v>
      </c>
      <c r="H39" s="7" t="s">
        <v>171</v>
      </c>
      <c r="I39" s="7" t="s">
        <v>218</v>
      </c>
      <c r="J39" s="9" t="s">
        <v>241</v>
      </c>
      <c r="K39" s="9" t="s">
        <v>242</v>
      </c>
      <c r="L39" s="9" t="s">
        <v>243</v>
      </c>
      <c r="M39" s="10">
        <v>5</v>
      </c>
      <c r="N39" s="10">
        <v>2</v>
      </c>
      <c r="O39" s="7">
        <f t="shared" si="1"/>
        <v>10</v>
      </c>
      <c r="P39" s="7" t="str">
        <f>INDEX('Scales &amp; Matrix'!$B$13:$F$17,6-N39,M39)</f>
        <v>High</v>
      </c>
      <c r="Q39" s="9" t="s">
        <v>244</v>
      </c>
      <c r="R39" s="10">
        <v>3</v>
      </c>
      <c r="S39" s="10">
        <v>3</v>
      </c>
      <c r="T39" s="7">
        <f t="shared" si="2"/>
        <v>9</v>
      </c>
      <c r="U39" s="7" t="str">
        <f>INDEX('Scales &amp; Matrix'!$B$13:$F$17,6-S39,R39)</f>
        <v>Moderate</v>
      </c>
      <c r="V39" s="11">
        <f t="shared" si="3"/>
        <v>1</v>
      </c>
      <c r="W39" s="12">
        <f t="shared" si="4"/>
        <v>0.1</v>
      </c>
      <c r="X39" s="9" t="s">
        <v>176</v>
      </c>
      <c r="Y39" s="7" t="s">
        <v>87</v>
      </c>
      <c r="Z39" s="7" t="s">
        <v>76</v>
      </c>
      <c r="AA39" s="9" t="str">
        <f t="shared" si="5"/>
        <v/>
      </c>
      <c r="AB39" s="13">
        <f t="shared" si="6"/>
        <v>9109961</v>
      </c>
      <c r="AC39" s="13">
        <f t="shared" si="7"/>
        <v>0</v>
      </c>
      <c r="AD39" s="13">
        <f t="shared" si="8"/>
        <v>9109961</v>
      </c>
    </row>
    <row r="40" spans="1:30" ht="51" x14ac:dyDescent="0.25">
      <c r="A40" s="7">
        <f t="shared" si="0"/>
        <v>17</v>
      </c>
      <c r="B40" s="7" t="s">
        <v>245</v>
      </c>
      <c r="C40" s="7" t="s">
        <v>48</v>
      </c>
      <c r="D40" s="8" t="str">
        <f>INDEX('Summary by Assessment'!$C$5:$C$101,MATCH(C40,'Summary by Assessment'!$B$5:$B$101,0))</f>
        <v>Fremantle</v>
      </c>
      <c r="E40" s="9" t="s">
        <v>49</v>
      </c>
      <c r="F40" s="9" t="s">
        <v>50</v>
      </c>
      <c r="G40" s="9" t="s">
        <v>51</v>
      </c>
      <c r="H40" s="7" t="s">
        <v>52</v>
      </c>
      <c r="I40" s="7" t="s">
        <v>92</v>
      </c>
      <c r="J40" s="9" t="s">
        <v>246</v>
      </c>
      <c r="K40" s="9" t="s">
        <v>247</v>
      </c>
      <c r="L40" s="9" t="s">
        <v>248</v>
      </c>
      <c r="M40" s="10">
        <v>3</v>
      </c>
      <c r="N40" s="10">
        <v>3</v>
      </c>
      <c r="O40" s="7">
        <f t="shared" si="1"/>
        <v>9</v>
      </c>
      <c r="P40" s="7" t="str">
        <f>INDEX('Scales &amp; Matrix'!$B$13:$F$17,6-N40,M40)</f>
        <v>Moderate</v>
      </c>
      <c r="Q40" s="9" t="s">
        <v>249</v>
      </c>
      <c r="R40" s="10">
        <v>3</v>
      </c>
      <c r="S40" s="10">
        <v>3</v>
      </c>
      <c r="T40" s="7">
        <f t="shared" si="2"/>
        <v>9</v>
      </c>
      <c r="U40" s="7" t="str">
        <f>INDEX('Scales &amp; Matrix'!$B$13:$F$17,6-S40,R40)</f>
        <v>Moderate</v>
      </c>
      <c r="V40" s="11">
        <f t="shared" si="3"/>
        <v>0</v>
      </c>
      <c r="W40" s="12">
        <f t="shared" si="4"/>
        <v>0</v>
      </c>
      <c r="X40" s="9" t="s">
        <v>250</v>
      </c>
      <c r="Y40" s="7" t="s">
        <v>76</v>
      </c>
      <c r="Z40" s="7" t="s">
        <v>76</v>
      </c>
      <c r="AA40" s="9" t="str">
        <f t="shared" si="5"/>
        <v/>
      </c>
      <c r="AB40" s="13">
        <f t="shared" si="6"/>
        <v>9099960</v>
      </c>
      <c r="AC40" s="13">
        <f t="shared" si="7"/>
        <v>0</v>
      </c>
      <c r="AD40" s="13">
        <f t="shared" si="8"/>
        <v>9099960</v>
      </c>
    </row>
    <row r="41" spans="1:30" ht="76.5" x14ac:dyDescent="0.25">
      <c r="A41" s="7">
        <f t="shared" si="0"/>
        <v>17</v>
      </c>
      <c r="B41" s="7" t="s">
        <v>251</v>
      </c>
      <c r="C41" s="7" t="s">
        <v>48</v>
      </c>
      <c r="D41" s="8" t="str">
        <f>INDEX('Summary by Assessment'!$C$5:$C$101,MATCH(C41,'Summary by Assessment'!$B$5:$B$101,0))</f>
        <v>Fremantle</v>
      </c>
      <c r="E41" s="9" t="s">
        <v>49</v>
      </c>
      <c r="F41" s="9" t="s">
        <v>50</v>
      </c>
      <c r="G41" s="9" t="s">
        <v>51</v>
      </c>
      <c r="H41" s="7" t="s">
        <v>52</v>
      </c>
      <c r="I41" s="7" t="s">
        <v>39</v>
      </c>
      <c r="J41" s="9" t="s">
        <v>252</v>
      </c>
      <c r="K41" s="9" t="s">
        <v>253</v>
      </c>
      <c r="L41" s="9" t="s">
        <v>254</v>
      </c>
      <c r="M41" s="10">
        <v>3</v>
      </c>
      <c r="N41" s="10">
        <v>3</v>
      </c>
      <c r="O41" s="7">
        <f t="shared" si="1"/>
        <v>9</v>
      </c>
      <c r="P41" s="7" t="str">
        <f>INDEX('Scales &amp; Matrix'!$B$13:$F$17,6-N41,M41)</f>
        <v>Moderate</v>
      </c>
      <c r="Q41" s="9" t="s">
        <v>255</v>
      </c>
      <c r="R41" s="10">
        <v>3</v>
      </c>
      <c r="S41" s="10">
        <v>3</v>
      </c>
      <c r="T41" s="7">
        <f t="shared" si="2"/>
        <v>9</v>
      </c>
      <c r="U41" s="7" t="str">
        <f>INDEX('Scales &amp; Matrix'!$B$13:$F$17,6-S41,R41)</f>
        <v>Moderate</v>
      </c>
      <c r="V41" s="11">
        <f t="shared" si="3"/>
        <v>0</v>
      </c>
      <c r="W41" s="12">
        <f t="shared" si="4"/>
        <v>0</v>
      </c>
      <c r="X41" s="9" t="s">
        <v>67</v>
      </c>
      <c r="Y41" s="7" t="s">
        <v>76</v>
      </c>
      <c r="Z41" s="7" t="s">
        <v>76</v>
      </c>
      <c r="AA41" s="9" t="str">
        <f t="shared" si="5"/>
        <v/>
      </c>
      <c r="AB41" s="13">
        <f t="shared" si="6"/>
        <v>9099959</v>
      </c>
      <c r="AC41" s="13">
        <f t="shared" si="7"/>
        <v>0</v>
      </c>
      <c r="AD41" s="13">
        <f t="shared" si="8"/>
        <v>9099959</v>
      </c>
    </row>
    <row r="42" spans="1:30" ht="38.25" x14ac:dyDescent="0.25">
      <c r="A42" s="7">
        <f t="shared" si="0"/>
        <v>17</v>
      </c>
      <c r="B42" s="7" t="s">
        <v>256</v>
      </c>
      <c r="C42" s="7" t="s">
        <v>153</v>
      </c>
      <c r="D42" s="8" t="str">
        <f>INDEX('Summary by Assessment'!$C$5:$C$101,MATCH(C42,'Summary by Assessment'!$B$5:$B$101,0))</f>
        <v>Fremantle</v>
      </c>
      <c r="E42" s="9" t="s">
        <v>154</v>
      </c>
      <c r="F42" s="9" t="s">
        <v>155</v>
      </c>
      <c r="G42" s="9" t="s">
        <v>51</v>
      </c>
      <c r="H42" s="7" t="s">
        <v>91</v>
      </c>
      <c r="I42" s="7" t="s">
        <v>218</v>
      </c>
      <c r="J42" s="9" t="s">
        <v>257</v>
      </c>
      <c r="K42" s="9" t="s">
        <v>41</v>
      </c>
      <c r="L42" s="9" t="s">
        <v>258</v>
      </c>
      <c r="M42" s="10">
        <v>3</v>
      </c>
      <c r="N42" s="10">
        <v>3</v>
      </c>
      <c r="O42" s="7">
        <f t="shared" si="1"/>
        <v>9</v>
      </c>
      <c r="P42" s="7" t="str">
        <f>INDEX('Scales &amp; Matrix'!$B$13:$F$17,6-N42,M42)</f>
        <v>Moderate</v>
      </c>
      <c r="Q42" s="9" t="s">
        <v>259</v>
      </c>
      <c r="R42" s="10">
        <v>3</v>
      </c>
      <c r="S42" s="10">
        <v>3</v>
      </c>
      <c r="T42" s="7">
        <f t="shared" si="2"/>
        <v>9</v>
      </c>
      <c r="U42" s="7" t="str">
        <f>INDEX('Scales &amp; Matrix'!$B$13:$F$17,6-S42,R42)</f>
        <v>Moderate</v>
      </c>
      <c r="V42" s="11">
        <f t="shared" si="3"/>
        <v>0</v>
      </c>
      <c r="W42" s="12">
        <f t="shared" si="4"/>
        <v>0</v>
      </c>
      <c r="X42" s="9" t="s">
        <v>44</v>
      </c>
      <c r="Y42" s="7" t="s">
        <v>76</v>
      </c>
      <c r="Z42" s="7" t="s">
        <v>76</v>
      </c>
      <c r="AA42" s="9" t="str">
        <f t="shared" si="5"/>
        <v/>
      </c>
      <c r="AB42" s="13">
        <f t="shared" si="6"/>
        <v>9099958</v>
      </c>
      <c r="AC42" s="13">
        <f t="shared" si="7"/>
        <v>0</v>
      </c>
      <c r="AD42" s="13">
        <f t="shared" si="8"/>
        <v>9099958</v>
      </c>
    </row>
    <row r="43" spans="1:30" ht="89.25" x14ac:dyDescent="0.25">
      <c r="A43" s="7">
        <f t="shared" si="0"/>
        <v>17</v>
      </c>
      <c r="B43" s="7" t="s">
        <v>260</v>
      </c>
      <c r="C43" s="7" t="s">
        <v>261</v>
      </c>
      <c r="D43" s="8" t="str">
        <f>INDEX('Summary by Assessment'!$C$5:$C$101,MATCH(C43,'Summary by Assessment'!$B$5:$B$101,0))</f>
        <v>Fremantle</v>
      </c>
      <c r="E43" s="9" t="s">
        <v>262</v>
      </c>
      <c r="F43" s="9" t="s">
        <v>50</v>
      </c>
      <c r="G43" s="9" t="s">
        <v>51</v>
      </c>
      <c r="H43" s="7" t="s">
        <v>71</v>
      </c>
      <c r="I43" s="7" t="s">
        <v>39</v>
      </c>
      <c r="J43" s="9" t="s">
        <v>263</v>
      </c>
      <c r="K43" s="9" t="s">
        <v>264</v>
      </c>
      <c r="L43" s="9" t="s">
        <v>265</v>
      </c>
      <c r="M43" s="10">
        <v>3</v>
      </c>
      <c r="N43" s="10">
        <v>3</v>
      </c>
      <c r="O43" s="7">
        <f t="shared" si="1"/>
        <v>9</v>
      </c>
      <c r="P43" s="7" t="str">
        <f>INDEX('Scales &amp; Matrix'!$B$13:$F$17,6-N43,M43)</f>
        <v>Moderate</v>
      </c>
      <c r="Q43" s="9" t="s">
        <v>266</v>
      </c>
      <c r="R43" s="10">
        <v>3</v>
      </c>
      <c r="S43" s="10">
        <v>3</v>
      </c>
      <c r="T43" s="7">
        <f t="shared" si="2"/>
        <v>9</v>
      </c>
      <c r="U43" s="7" t="str">
        <f>INDEX('Scales &amp; Matrix'!$B$13:$F$17,6-S43,R43)</f>
        <v>Moderate</v>
      </c>
      <c r="V43" s="11">
        <f t="shared" si="3"/>
        <v>0</v>
      </c>
      <c r="W43" s="12">
        <f t="shared" si="4"/>
        <v>0</v>
      </c>
      <c r="X43" s="9" t="s">
        <v>221</v>
      </c>
      <c r="Y43" s="7" t="s">
        <v>76</v>
      </c>
      <c r="Z43" s="7" t="s">
        <v>76</v>
      </c>
      <c r="AA43" s="9" t="str">
        <f t="shared" si="5"/>
        <v/>
      </c>
      <c r="AB43" s="13">
        <f t="shared" si="6"/>
        <v>9099957</v>
      </c>
      <c r="AC43" s="13">
        <f t="shared" si="7"/>
        <v>0</v>
      </c>
      <c r="AD43" s="13">
        <f t="shared" si="8"/>
        <v>9099957</v>
      </c>
    </row>
    <row r="44" spans="1:30" ht="51" x14ac:dyDescent="0.25">
      <c r="A44" s="7">
        <f t="shared" si="0"/>
        <v>17</v>
      </c>
      <c r="B44" s="7" t="s">
        <v>267</v>
      </c>
      <c r="C44" s="7" t="s">
        <v>268</v>
      </c>
      <c r="D44" s="8" t="str">
        <f>INDEX('Summary by Assessment'!$C$5:$C$101,MATCH(C44,'Summary by Assessment'!$B$5:$B$101,0))</f>
        <v>Fremantle</v>
      </c>
      <c r="E44" s="9" t="s">
        <v>269</v>
      </c>
      <c r="F44" s="9" t="s">
        <v>36</v>
      </c>
      <c r="G44" s="9" t="s">
        <v>51</v>
      </c>
      <c r="H44" s="7" t="s">
        <v>71</v>
      </c>
      <c r="I44" s="7" t="s">
        <v>92</v>
      </c>
      <c r="J44" s="9" t="s">
        <v>270</v>
      </c>
      <c r="K44" s="9" t="s">
        <v>189</v>
      </c>
      <c r="L44" s="9" t="s">
        <v>271</v>
      </c>
      <c r="M44" s="10">
        <v>3</v>
      </c>
      <c r="N44" s="10">
        <v>3</v>
      </c>
      <c r="O44" s="7">
        <f t="shared" si="1"/>
        <v>9</v>
      </c>
      <c r="P44" s="7" t="str">
        <f>INDEX('Scales &amp; Matrix'!$B$13:$F$17,6-N44,M44)</f>
        <v>Moderate</v>
      </c>
      <c r="Q44" s="9" t="s">
        <v>272</v>
      </c>
      <c r="R44" s="10">
        <v>3</v>
      </c>
      <c r="S44" s="10">
        <v>3</v>
      </c>
      <c r="T44" s="7">
        <f t="shared" si="2"/>
        <v>9</v>
      </c>
      <c r="U44" s="7" t="str">
        <f>INDEX('Scales &amp; Matrix'!$B$13:$F$17,6-S44,R44)</f>
        <v>Moderate</v>
      </c>
      <c r="V44" s="11">
        <f t="shared" si="3"/>
        <v>0</v>
      </c>
      <c r="W44" s="12">
        <f t="shared" si="4"/>
        <v>0</v>
      </c>
      <c r="X44" s="9" t="s">
        <v>67</v>
      </c>
      <c r="Y44" s="7" t="s">
        <v>76</v>
      </c>
      <c r="Z44" s="7" t="s">
        <v>76</v>
      </c>
      <c r="AA44" s="9" t="str">
        <f t="shared" si="5"/>
        <v/>
      </c>
      <c r="AB44" s="13">
        <f t="shared" si="6"/>
        <v>9099956</v>
      </c>
      <c r="AC44" s="13">
        <f t="shared" si="7"/>
        <v>0</v>
      </c>
      <c r="AD44" s="13">
        <f t="shared" si="8"/>
        <v>9099956</v>
      </c>
    </row>
    <row r="45" spans="1:30" ht="76.5" x14ac:dyDescent="0.25">
      <c r="A45" s="7">
        <f t="shared" si="0"/>
        <v>17</v>
      </c>
      <c r="B45" s="7" t="s">
        <v>273</v>
      </c>
      <c r="C45" s="7" t="s">
        <v>274</v>
      </c>
      <c r="D45" s="8" t="str">
        <f>INDEX('Summary by Assessment'!$C$5:$C$101,MATCH(C45,'Summary by Assessment'!$B$5:$B$101,0))</f>
        <v>Fremantle</v>
      </c>
      <c r="E45" s="9" t="s">
        <v>275</v>
      </c>
      <c r="F45" s="9" t="s">
        <v>36</v>
      </c>
      <c r="G45" s="9" t="s">
        <v>51</v>
      </c>
      <c r="H45" s="7" t="s">
        <v>71</v>
      </c>
      <c r="I45" s="7" t="s">
        <v>92</v>
      </c>
      <c r="J45" s="9" t="s">
        <v>276</v>
      </c>
      <c r="K45" s="9" t="s">
        <v>277</v>
      </c>
      <c r="L45" s="9" t="s">
        <v>278</v>
      </c>
      <c r="M45" s="10">
        <v>3</v>
      </c>
      <c r="N45" s="10">
        <v>3</v>
      </c>
      <c r="O45" s="7">
        <f t="shared" si="1"/>
        <v>9</v>
      </c>
      <c r="P45" s="7" t="str">
        <f>INDEX('Scales &amp; Matrix'!$B$13:$F$17,6-N45,M45)</f>
        <v>Moderate</v>
      </c>
      <c r="Q45" s="9" t="s">
        <v>279</v>
      </c>
      <c r="R45" s="10">
        <v>3</v>
      </c>
      <c r="S45" s="10">
        <v>3</v>
      </c>
      <c r="T45" s="7">
        <f t="shared" si="2"/>
        <v>9</v>
      </c>
      <c r="U45" s="7" t="str">
        <f>INDEX('Scales &amp; Matrix'!$B$13:$F$17,6-S45,R45)</f>
        <v>Moderate</v>
      </c>
      <c r="V45" s="11">
        <f t="shared" si="3"/>
        <v>0</v>
      </c>
      <c r="W45" s="12">
        <f t="shared" si="4"/>
        <v>0</v>
      </c>
      <c r="X45" s="9" t="s">
        <v>67</v>
      </c>
      <c r="Y45" s="7" t="s">
        <v>76</v>
      </c>
      <c r="Z45" s="7" t="s">
        <v>76</v>
      </c>
      <c r="AA45" s="9" t="str">
        <f t="shared" si="5"/>
        <v/>
      </c>
      <c r="AB45" s="13">
        <f t="shared" si="6"/>
        <v>9099955</v>
      </c>
      <c r="AC45" s="13">
        <f t="shared" si="7"/>
        <v>0</v>
      </c>
      <c r="AD45" s="13">
        <f t="shared" si="8"/>
        <v>9099955</v>
      </c>
    </row>
    <row r="46" spans="1:30" ht="63.75" x14ac:dyDescent="0.25">
      <c r="A46" s="7">
        <f t="shared" si="0"/>
        <v>17</v>
      </c>
      <c r="B46" s="7" t="s">
        <v>280</v>
      </c>
      <c r="C46" s="7" t="s">
        <v>281</v>
      </c>
      <c r="D46" s="8" t="str">
        <f>INDEX('Summary by Assessment'!$C$5:$C$101,MATCH(C46,'Summary by Assessment'!$B$5:$B$101,0))</f>
        <v>Fremantle</v>
      </c>
      <c r="E46" s="9" t="s">
        <v>282</v>
      </c>
      <c r="F46" s="9" t="s">
        <v>50</v>
      </c>
      <c r="G46" s="9" t="s">
        <v>51</v>
      </c>
      <c r="H46" s="7" t="s">
        <v>71</v>
      </c>
      <c r="I46" s="7" t="s">
        <v>39</v>
      </c>
      <c r="J46" s="9" t="s">
        <v>283</v>
      </c>
      <c r="K46" s="9" t="s">
        <v>284</v>
      </c>
      <c r="L46" s="9" t="s">
        <v>285</v>
      </c>
      <c r="M46" s="10">
        <v>3</v>
      </c>
      <c r="N46" s="10">
        <v>3</v>
      </c>
      <c r="O46" s="7">
        <f t="shared" si="1"/>
        <v>9</v>
      </c>
      <c r="P46" s="7" t="str">
        <f>INDEX('Scales &amp; Matrix'!$B$13:$F$17,6-N46,M46)</f>
        <v>Moderate</v>
      </c>
      <c r="Q46" s="9" t="s">
        <v>286</v>
      </c>
      <c r="R46" s="10">
        <v>3</v>
      </c>
      <c r="S46" s="10">
        <v>3</v>
      </c>
      <c r="T46" s="7">
        <f t="shared" si="2"/>
        <v>9</v>
      </c>
      <c r="U46" s="7" t="str">
        <f>INDEX('Scales &amp; Matrix'!$B$13:$F$17,6-S46,R46)</f>
        <v>Moderate</v>
      </c>
      <c r="V46" s="11">
        <f t="shared" si="3"/>
        <v>0</v>
      </c>
      <c r="W46" s="12">
        <f t="shared" si="4"/>
        <v>0</v>
      </c>
      <c r="X46" s="9" t="s">
        <v>67</v>
      </c>
      <c r="Y46" s="7" t="s">
        <v>76</v>
      </c>
      <c r="Z46" s="7" t="s">
        <v>76</v>
      </c>
      <c r="AA46" s="9" t="str">
        <f t="shared" si="5"/>
        <v/>
      </c>
      <c r="AB46" s="13">
        <f t="shared" si="6"/>
        <v>9099954</v>
      </c>
      <c r="AC46" s="13">
        <f t="shared" si="7"/>
        <v>0</v>
      </c>
      <c r="AD46" s="13">
        <f t="shared" si="8"/>
        <v>9099954</v>
      </c>
    </row>
    <row r="47" spans="1:30" ht="38.25" x14ac:dyDescent="0.25">
      <c r="A47" s="7">
        <f t="shared" si="0"/>
        <v>17</v>
      </c>
      <c r="B47" s="7" t="s">
        <v>287</v>
      </c>
      <c r="C47" s="7" t="s">
        <v>178</v>
      </c>
      <c r="D47" s="8" t="str">
        <f>INDEX('Summary by Assessment'!$C$5:$C$101,MATCH(C47,'Summary by Assessment'!$B$5:$B$101,0))</f>
        <v>Perth</v>
      </c>
      <c r="E47" s="9" t="s">
        <v>179</v>
      </c>
      <c r="F47" s="9" t="s">
        <v>155</v>
      </c>
      <c r="G47" s="9" t="s">
        <v>180</v>
      </c>
      <c r="H47" s="7" t="s">
        <v>181</v>
      </c>
      <c r="I47" s="7" t="s">
        <v>218</v>
      </c>
      <c r="J47" s="9" t="s">
        <v>257</v>
      </c>
      <c r="K47" s="9" t="s">
        <v>41</v>
      </c>
      <c r="L47" s="9" t="s">
        <v>258</v>
      </c>
      <c r="M47" s="10">
        <v>3</v>
      </c>
      <c r="N47" s="10">
        <v>3</v>
      </c>
      <c r="O47" s="7">
        <f t="shared" si="1"/>
        <v>9</v>
      </c>
      <c r="P47" s="7" t="str">
        <f>INDEX('Scales &amp; Matrix'!$B$13:$F$17,6-N47,M47)</f>
        <v>Moderate</v>
      </c>
      <c r="Q47" s="9" t="s">
        <v>259</v>
      </c>
      <c r="R47" s="10">
        <v>3</v>
      </c>
      <c r="S47" s="10">
        <v>3</v>
      </c>
      <c r="T47" s="7">
        <f t="shared" si="2"/>
        <v>9</v>
      </c>
      <c r="U47" s="7" t="str">
        <f>INDEX('Scales &amp; Matrix'!$B$13:$F$17,6-S47,R47)</f>
        <v>Moderate</v>
      </c>
      <c r="V47" s="11">
        <f t="shared" si="3"/>
        <v>0</v>
      </c>
      <c r="W47" s="12">
        <f t="shared" si="4"/>
        <v>0</v>
      </c>
      <c r="X47" s="9" t="s">
        <v>44</v>
      </c>
      <c r="Y47" s="7" t="s">
        <v>76</v>
      </c>
      <c r="Z47" s="7" t="s">
        <v>76</v>
      </c>
      <c r="AA47" s="9" t="str">
        <f t="shared" si="5"/>
        <v/>
      </c>
      <c r="AB47" s="13">
        <f t="shared" si="6"/>
        <v>9099953</v>
      </c>
      <c r="AC47" s="13">
        <f t="shared" si="7"/>
        <v>9099953</v>
      </c>
      <c r="AD47" s="13">
        <f t="shared" si="8"/>
        <v>0</v>
      </c>
    </row>
    <row r="48" spans="1:30" ht="89.25" x14ac:dyDescent="0.25">
      <c r="A48" s="7">
        <f t="shared" si="0"/>
        <v>17</v>
      </c>
      <c r="B48" s="7" t="s">
        <v>288</v>
      </c>
      <c r="C48" s="7" t="s">
        <v>289</v>
      </c>
      <c r="D48" s="8" t="str">
        <f>INDEX('Summary by Assessment'!$C$5:$C$101,MATCH(C48,'Summary by Assessment'!$B$5:$B$101,0))</f>
        <v>Perth</v>
      </c>
      <c r="E48" s="9" t="s">
        <v>262</v>
      </c>
      <c r="F48" s="9" t="s">
        <v>50</v>
      </c>
      <c r="G48" s="9" t="s">
        <v>51</v>
      </c>
      <c r="H48" s="7" t="s">
        <v>52</v>
      </c>
      <c r="I48" s="7" t="s">
        <v>39</v>
      </c>
      <c r="J48" s="9" t="s">
        <v>263</v>
      </c>
      <c r="K48" s="9" t="s">
        <v>264</v>
      </c>
      <c r="L48" s="9" t="s">
        <v>265</v>
      </c>
      <c r="M48" s="10">
        <v>3</v>
      </c>
      <c r="N48" s="10">
        <v>3</v>
      </c>
      <c r="O48" s="7">
        <f t="shared" si="1"/>
        <v>9</v>
      </c>
      <c r="P48" s="7" t="str">
        <f>INDEX('Scales &amp; Matrix'!$B$13:$F$17,6-N48,M48)</f>
        <v>Moderate</v>
      </c>
      <c r="Q48" s="9" t="s">
        <v>266</v>
      </c>
      <c r="R48" s="10">
        <v>3</v>
      </c>
      <c r="S48" s="10">
        <v>3</v>
      </c>
      <c r="T48" s="7">
        <f t="shared" si="2"/>
        <v>9</v>
      </c>
      <c r="U48" s="7" t="str">
        <f>INDEX('Scales &amp; Matrix'!$B$13:$F$17,6-S48,R48)</f>
        <v>Moderate</v>
      </c>
      <c r="V48" s="11">
        <f t="shared" si="3"/>
        <v>0</v>
      </c>
      <c r="W48" s="12">
        <f t="shared" si="4"/>
        <v>0</v>
      </c>
      <c r="X48" s="9" t="s">
        <v>221</v>
      </c>
      <c r="Y48" s="7" t="s">
        <v>76</v>
      </c>
      <c r="Z48" s="7" t="s">
        <v>76</v>
      </c>
      <c r="AA48" s="9" t="str">
        <f t="shared" si="5"/>
        <v/>
      </c>
      <c r="AB48" s="13">
        <f t="shared" si="6"/>
        <v>9099952</v>
      </c>
      <c r="AC48" s="13">
        <f t="shared" si="7"/>
        <v>9099952</v>
      </c>
      <c r="AD48" s="13">
        <f t="shared" si="8"/>
        <v>0</v>
      </c>
    </row>
    <row r="49" spans="1:30" ht="51" x14ac:dyDescent="0.25">
      <c r="A49" s="7">
        <f t="shared" si="0"/>
        <v>17</v>
      </c>
      <c r="B49" s="7" t="s">
        <v>290</v>
      </c>
      <c r="C49" s="7" t="s">
        <v>291</v>
      </c>
      <c r="D49" s="8" t="str">
        <f>INDEX('Summary by Assessment'!$C$5:$C$101,MATCH(C49,'Summary by Assessment'!$B$5:$B$101,0))</f>
        <v>Perth</v>
      </c>
      <c r="E49" s="9" t="s">
        <v>269</v>
      </c>
      <c r="F49" s="9" t="s">
        <v>36</v>
      </c>
      <c r="G49" s="9" t="s">
        <v>51</v>
      </c>
      <c r="H49" s="7" t="s">
        <v>52</v>
      </c>
      <c r="I49" s="7" t="s">
        <v>92</v>
      </c>
      <c r="J49" s="9" t="s">
        <v>270</v>
      </c>
      <c r="K49" s="9" t="s">
        <v>189</v>
      </c>
      <c r="L49" s="9" t="s">
        <v>271</v>
      </c>
      <c r="M49" s="10">
        <v>3</v>
      </c>
      <c r="N49" s="10">
        <v>3</v>
      </c>
      <c r="O49" s="7">
        <f t="shared" si="1"/>
        <v>9</v>
      </c>
      <c r="P49" s="7" t="str">
        <f>INDEX('Scales &amp; Matrix'!$B$13:$F$17,6-N49,M49)</f>
        <v>Moderate</v>
      </c>
      <c r="Q49" s="9" t="s">
        <v>272</v>
      </c>
      <c r="R49" s="10">
        <v>3</v>
      </c>
      <c r="S49" s="10">
        <v>3</v>
      </c>
      <c r="T49" s="7">
        <f t="shared" si="2"/>
        <v>9</v>
      </c>
      <c r="U49" s="7" t="str">
        <f>INDEX('Scales &amp; Matrix'!$B$13:$F$17,6-S49,R49)</f>
        <v>Moderate</v>
      </c>
      <c r="V49" s="11">
        <f t="shared" si="3"/>
        <v>0</v>
      </c>
      <c r="W49" s="12">
        <f t="shared" si="4"/>
        <v>0</v>
      </c>
      <c r="X49" s="9" t="s">
        <v>67</v>
      </c>
      <c r="Y49" s="7" t="s">
        <v>76</v>
      </c>
      <c r="Z49" s="7" t="s">
        <v>76</v>
      </c>
      <c r="AA49" s="9" t="str">
        <f t="shared" si="5"/>
        <v/>
      </c>
      <c r="AB49" s="13">
        <f t="shared" si="6"/>
        <v>9099951</v>
      </c>
      <c r="AC49" s="13">
        <f t="shared" si="7"/>
        <v>9099951</v>
      </c>
      <c r="AD49" s="13">
        <f t="shared" si="8"/>
        <v>0</v>
      </c>
    </row>
    <row r="50" spans="1:30" ht="63.75" x14ac:dyDescent="0.25">
      <c r="A50" s="7">
        <f t="shared" si="0"/>
        <v>17</v>
      </c>
      <c r="B50" s="7" t="s">
        <v>292</v>
      </c>
      <c r="C50" s="7" t="s">
        <v>293</v>
      </c>
      <c r="D50" s="8" t="str">
        <f>INDEX('Summary by Assessment'!$C$5:$C$101,MATCH(C50,'Summary by Assessment'!$B$5:$B$101,0))</f>
        <v>Perth</v>
      </c>
      <c r="E50" s="9" t="s">
        <v>294</v>
      </c>
      <c r="F50" s="9" t="s">
        <v>36</v>
      </c>
      <c r="G50" s="9" t="s">
        <v>295</v>
      </c>
      <c r="H50" s="7" t="s">
        <v>296</v>
      </c>
      <c r="I50" s="7" t="s">
        <v>53</v>
      </c>
      <c r="J50" s="9" t="s">
        <v>297</v>
      </c>
      <c r="K50" s="9" t="s">
        <v>298</v>
      </c>
      <c r="L50" s="9" t="s">
        <v>299</v>
      </c>
      <c r="M50" s="10">
        <v>3</v>
      </c>
      <c r="N50" s="10">
        <v>3</v>
      </c>
      <c r="O50" s="7">
        <f t="shared" si="1"/>
        <v>9</v>
      </c>
      <c r="P50" s="7" t="str">
        <f>INDEX('Scales &amp; Matrix'!$B$13:$F$17,6-N50,M50)</f>
        <v>Moderate</v>
      </c>
      <c r="Q50" s="9" t="s">
        <v>300</v>
      </c>
      <c r="R50" s="10">
        <v>3</v>
      </c>
      <c r="S50" s="10">
        <v>3</v>
      </c>
      <c r="T50" s="7">
        <f t="shared" si="2"/>
        <v>9</v>
      </c>
      <c r="U50" s="7" t="str">
        <f>INDEX('Scales &amp; Matrix'!$B$13:$F$17,6-S50,R50)</f>
        <v>Moderate</v>
      </c>
      <c r="V50" s="11">
        <f t="shared" si="3"/>
        <v>0</v>
      </c>
      <c r="W50" s="12">
        <f t="shared" si="4"/>
        <v>0</v>
      </c>
      <c r="X50" s="9" t="s">
        <v>301</v>
      </c>
      <c r="Y50" s="7" t="s">
        <v>76</v>
      </c>
      <c r="Z50" s="7" t="s">
        <v>76</v>
      </c>
      <c r="AA50" s="9" t="str">
        <f t="shared" si="5"/>
        <v/>
      </c>
      <c r="AB50" s="13">
        <f t="shared" si="6"/>
        <v>9099950</v>
      </c>
      <c r="AC50" s="13">
        <f t="shared" si="7"/>
        <v>9099950</v>
      </c>
      <c r="AD50" s="13">
        <f t="shared" si="8"/>
        <v>0</v>
      </c>
    </row>
    <row r="51" spans="1:30" ht="51" x14ac:dyDescent="0.25">
      <c r="A51" s="7">
        <f t="shared" si="0"/>
        <v>17</v>
      </c>
      <c r="B51" s="7" t="s">
        <v>302</v>
      </c>
      <c r="C51" s="7" t="s">
        <v>303</v>
      </c>
      <c r="D51" s="8" t="str">
        <f>INDEX('Summary by Assessment'!$C$5:$C$101,MATCH(C51,'Summary by Assessment'!$B$5:$B$101,0))</f>
        <v>Fremantle</v>
      </c>
      <c r="E51" s="9" t="s">
        <v>304</v>
      </c>
      <c r="F51" s="9" t="s">
        <v>155</v>
      </c>
      <c r="G51" s="9" t="s">
        <v>51</v>
      </c>
      <c r="H51" s="7" t="s">
        <v>305</v>
      </c>
      <c r="I51" s="7" t="s">
        <v>53</v>
      </c>
      <c r="J51" s="9" t="s">
        <v>306</v>
      </c>
      <c r="K51" s="9" t="s">
        <v>307</v>
      </c>
      <c r="L51" s="9" t="s">
        <v>308</v>
      </c>
      <c r="M51" s="10">
        <v>2</v>
      </c>
      <c r="N51" s="10">
        <v>3</v>
      </c>
      <c r="O51" s="7">
        <f t="shared" si="1"/>
        <v>6</v>
      </c>
      <c r="P51" s="7" t="str">
        <f>INDEX('Scales &amp; Matrix'!$B$13:$F$17,6-N51,M51)</f>
        <v>Moderate</v>
      </c>
      <c r="Q51" s="9" t="s">
        <v>309</v>
      </c>
      <c r="R51" s="10">
        <v>3</v>
      </c>
      <c r="S51" s="10">
        <v>3</v>
      </c>
      <c r="T51" s="7">
        <f t="shared" si="2"/>
        <v>9</v>
      </c>
      <c r="U51" s="7" t="str">
        <f>INDEX('Scales &amp; Matrix'!$B$13:$F$17,6-S51,R51)</f>
        <v>Moderate</v>
      </c>
      <c r="V51" s="11">
        <f t="shared" si="3"/>
        <v>-3</v>
      </c>
      <c r="W51" s="12">
        <f t="shared" si="4"/>
        <v>-0.5</v>
      </c>
      <c r="X51" s="9" t="s">
        <v>310</v>
      </c>
      <c r="Y51" s="7" t="s">
        <v>311</v>
      </c>
      <c r="Z51" s="7" t="s">
        <v>76</v>
      </c>
      <c r="AA51" s="9" t="str">
        <f t="shared" si="5"/>
        <v>Residual higher than inherent - check.</v>
      </c>
      <c r="AB51" s="13">
        <f t="shared" si="6"/>
        <v>9069949</v>
      </c>
      <c r="AC51" s="13">
        <f t="shared" si="7"/>
        <v>0</v>
      </c>
      <c r="AD51" s="13">
        <f t="shared" si="8"/>
        <v>9069949</v>
      </c>
    </row>
    <row r="52" spans="1:30" ht="51" x14ac:dyDescent="0.25">
      <c r="A52" s="7">
        <f t="shared" si="0"/>
        <v>48</v>
      </c>
      <c r="B52" s="7" t="s">
        <v>312</v>
      </c>
      <c r="C52" s="7" t="s">
        <v>89</v>
      </c>
      <c r="D52" s="8" t="str">
        <f>INDEX('Summary by Assessment'!$C$5:$C$101,MATCH(C52,'Summary by Assessment'!$B$5:$B$101,0))</f>
        <v>Fremantle</v>
      </c>
      <c r="E52" s="9" t="s">
        <v>90</v>
      </c>
      <c r="F52" s="9" t="s">
        <v>50</v>
      </c>
      <c r="G52" s="9" t="s">
        <v>51</v>
      </c>
      <c r="H52" s="7" t="s">
        <v>91</v>
      </c>
      <c r="I52" s="7" t="s">
        <v>53</v>
      </c>
      <c r="J52" s="9" t="s">
        <v>313</v>
      </c>
      <c r="K52" s="9" t="s">
        <v>94</v>
      </c>
      <c r="L52" s="9" t="s">
        <v>314</v>
      </c>
      <c r="M52" s="10">
        <v>4</v>
      </c>
      <c r="N52" s="10">
        <v>4</v>
      </c>
      <c r="O52" s="7">
        <f t="shared" si="1"/>
        <v>16</v>
      </c>
      <c r="P52" s="7" t="str">
        <f>INDEX('Scales &amp; Matrix'!$B$13:$F$17,6-N52,M52)</f>
        <v>High</v>
      </c>
      <c r="Q52" s="9" t="s">
        <v>315</v>
      </c>
      <c r="R52" s="10">
        <v>4</v>
      </c>
      <c r="S52" s="10">
        <v>2</v>
      </c>
      <c r="T52" s="7">
        <f t="shared" si="2"/>
        <v>8</v>
      </c>
      <c r="U52" s="7" t="str">
        <f>INDEX('Scales &amp; Matrix'!$B$13:$F$17,6-S52,R52)</f>
        <v>Moderate</v>
      </c>
      <c r="V52" s="11">
        <f t="shared" si="3"/>
        <v>8</v>
      </c>
      <c r="W52" s="12">
        <f t="shared" si="4"/>
        <v>0.5</v>
      </c>
      <c r="X52" s="9" t="s">
        <v>97</v>
      </c>
      <c r="Y52" s="7" t="s">
        <v>142</v>
      </c>
      <c r="Z52" s="7" t="s">
        <v>316</v>
      </c>
      <c r="AA52" s="9" t="str">
        <f t="shared" si="5"/>
        <v/>
      </c>
      <c r="AB52" s="13">
        <f t="shared" si="6"/>
        <v>8169948</v>
      </c>
      <c r="AC52" s="13">
        <f t="shared" si="7"/>
        <v>0</v>
      </c>
      <c r="AD52" s="13">
        <f t="shared" si="8"/>
        <v>8169948</v>
      </c>
    </row>
    <row r="53" spans="1:30" ht="51" x14ac:dyDescent="0.25">
      <c r="A53" s="7">
        <f t="shared" si="0"/>
        <v>48</v>
      </c>
      <c r="B53" s="7" t="s">
        <v>317</v>
      </c>
      <c r="C53" s="7" t="s">
        <v>107</v>
      </c>
      <c r="D53" s="8" t="str">
        <f>INDEX('Summary by Assessment'!$C$5:$C$101,MATCH(C53,'Summary by Assessment'!$B$5:$B$101,0))</f>
        <v>Fremantle</v>
      </c>
      <c r="E53" s="9" t="s">
        <v>108</v>
      </c>
      <c r="F53" s="9" t="s">
        <v>50</v>
      </c>
      <c r="G53" s="9" t="s">
        <v>51</v>
      </c>
      <c r="H53" s="7" t="s">
        <v>101</v>
      </c>
      <c r="I53" s="7" t="s">
        <v>53</v>
      </c>
      <c r="J53" s="9" t="s">
        <v>313</v>
      </c>
      <c r="K53" s="9" t="s">
        <v>94</v>
      </c>
      <c r="L53" s="9" t="s">
        <v>314</v>
      </c>
      <c r="M53" s="10">
        <v>4</v>
      </c>
      <c r="N53" s="10">
        <v>4</v>
      </c>
      <c r="O53" s="7">
        <f t="shared" si="1"/>
        <v>16</v>
      </c>
      <c r="P53" s="7" t="str">
        <f>INDEX('Scales &amp; Matrix'!$B$13:$F$17,6-N53,M53)</f>
        <v>High</v>
      </c>
      <c r="Q53" s="9" t="s">
        <v>315</v>
      </c>
      <c r="R53" s="10">
        <v>4</v>
      </c>
      <c r="S53" s="10">
        <v>2</v>
      </c>
      <c r="T53" s="7">
        <f t="shared" si="2"/>
        <v>8</v>
      </c>
      <c r="U53" s="7" t="str">
        <f>INDEX('Scales &amp; Matrix'!$B$13:$F$17,6-S53,R53)</f>
        <v>Moderate</v>
      </c>
      <c r="V53" s="11">
        <f t="shared" si="3"/>
        <v>8</v>
      </c>
      <c r="W53" s="12">
        <f t="shared" si="4"/>
        <v>0.5</v>
      </c>
      <c r="X53" s="9" t="s">
        <v>105</v>
      </c>
      <c r="Y53" s="7" t="s">
        <v>142</v>
      </c>
      <c r="Z53" s="7" t="s">
        <v>316</v>
      </c>
      <c r="AA53" s="9" t="str">
        <f t="shared" si="5"/>
        <v/>
      </c>
      <c r="AB53" s="13">
        <f t="shared" si="6"/>
        <v>8169947</v>
      </c>
      <c r="AC53" s="13">
        <f t="shared" si="7"/>
        <v>0</v>
      </c>
      <c r="AD53" s="13">
        <f t="shared" si="8"/>
        <v>8169947</v>
      </c>
    </row>
    <row r="54" spans="1:30" ht="51" x14ac:dyDescent="0.25">
      <c r="A54" s="7">
        <f t="shared" si="0"/>
        <v>48</v>
      </c>
      <c r="B54" s="7" t="s">
        <v>318</v>
      </c>
      <c r="C54" s="7" t="s">
        <v>110</v>
      </c>
      <c r="D54" s="8" t="str">
        <f>INDEX('Summary by Assessment'!$C$5:$C$101,MATCH(C54,'Summary by Assessment'!$B$5:$B$101,0))</f>
        <v>Perth</v>
      </c>
      <c r="E54" s="9" t="s">
        <v>111</v>
      </c>
      <c r="F54" s="9" t="s">
        <v>50</v>
      </c>
      <c r="G54" s="9" t="s">
        <v>51</v>
      </c>
      <c r="H54" s="7" t="s">
        <v>112</v>
      </c>
      <c r="I54" s="7" t="s">
        <v>53</v>
      </c>
      <c r="J54" s="9" t="s">
        <v>319</v>
      </c>
      <c r="K54" s="9" t="s">
        <v>94</v>
      </c>
      <c r="L54" s="9" t="s">
        <v>320</v>
      </c>
      <c r="M54" s="10">
        <v>4</v>
      </c>
      <c r="N54" s="10">
        <v>4</v>
      </c>
      <c r="O54" s="7">
        <f t="shared" si="1"/>
        <v>16</v>
      </c>
      <c r="P54" s="7" t="str">
        <f>INDEX('Scales &amp; Matrix'!$B$13:$F$17,6-N54,M54)</f>
        <v>High</v>
      </c>
      <c r="Q54" s="9" t="s">
        <v>321</v>
      </c>
      <c r="R54" s="10">
        <v>4</v>
      </c>
      <c r="S54" s="10">
        <v>2</v>
      </c>
      <c r="T54" s="7">
        <f t="shared" si="2"/>
        <v>8</v>
      </c>
      <c r="U54" s="7" t="str">
        <f>INDEX('Scales &amp; Matrix'!$B$13:$F$17,6-S54,R54)</f>
        <v>Moderate</v>
      </c>
      <c r="V54" s="11">
        <f t="shared" si="3"/>
        <v>8</v>
      </c>
      <c r="W54" s="12">
        <f t="shared" si="4"/>
        <v>0.5</v>
      </c>
      <c r="X54" s="9" t="s">
        <v>97</v>
      </c>
      <c r="Y54" s="7" t="s">
        <v>142</v>
      </c>
      <c r="Z54" s="7" t="s">
        <v>316</v>
      </c>
      <c r="AA54" s="9" t="str">
        <f t="shared" si="5"/>
        <v/>
      </c>
      <c r="AB54" s="13">
        <f t="shared" si="6"/>
        <v>8169946</v>
      </c>
      <c r="AC54" s="13">
        <f t="shared" si="7"/>
        <v>8169946</v>
      </c>
      <c r="AD54" s="13">
        <f t="shared" si="8"/>
        <v>0</v>
      </c>
    </row>
    <row r="55" spans="1:30" ht="51" x14ac:dyDescent="0.25">
      <c r="A55" s="7">
        <f t="shared" si="0"/>
        <v>48</v>
      </c>
      <c r="B55" s="7" t="s">
        <v>322</v>
      </c>
      <c r="C55" s="7" t="s">
        <v>110</v>
      </c>
      <c r="D55" s="8" t="str">
        <f>INDEX('Summary by Assessment'!$C$5:$C$101,MATCH(C55,'Summary by Assessment'!$B$5:$B$101,0))</f>
        <v>Perth</v>
      </c>
      <c r="E55" s="9" t="s">
        <v>111</v>
      </c>
      <c r="F55" s="9" t="s">
        <v>50</v>
      </c>
      <c r="G55" s="9" t="s">
        <v>51</v>
      </c>
      <c r="H55" s="7" t="s">
        <v>112</v>
      </c>
      <c r="I55" s="7" t="s">
        <v>92</v>
      </c>
      <c r="J55" s="9" t="s">
        <v>323</v>
      </c>
      <c r="K55" s="9" t="s">
        <v>41</v>
      </c>
      <c r="L55" s="9" t="s">
        <v>324</v>
      </c>
      <c r="M55" s="10">
        <v>4</v>
      </c>
      <c r="N55" s="10">
        <v>4</v>
      </c>
      <c r="O55" s="7">
        <f t="shared" si="1"/>
        <v>16</v>
      </c>
      <c r="P55" s="7" t="str">
        <f>INDEX('Scales &amp; Matrix'!$B$13:$F$17,6-N55,M55)</f>
        <v>High</v>
      </c>
      <c r="Q55" s="9" t="s">
        <v>325</v>
      </c>
      <c r="R55" s="10">
        <v>4</v>
      </c>
      <c r="S55" s="10">
        <v>2</v>
      </c>
      <c r="T55" s="7">
        <f t="shared" si="2"/>
        <v>8</v>
      </c>
      <c r="U55" s="7" t="str">
        <f>INDEX('Scales &amp; Matrix'!$B$13:$F$17,6-S55,R55)</f>
        <v>Moderate</v>
      </c>
      <c r="V55" s="11">
        <f t="shared" si="3"/>
        <v>8</v>
      </c>
      <c r="W55" s="12">
        <f t="shared" si="4"/>
        <v>0.5</v>
      </c>
      <c r="X55" s="9" t="s">
        <v>97</v>
      </c>
      <c r="Y55" s="7" t="s">
        <v>142</v>
      </c>
      <c r="Z55" s="7" t="s">
        <v>316</v>
      </c>
      <c r="AA55" s="9" t="str">
        <f t="shared" si="5"/>
        <v/>
      </c>
      <c r="AB55" s="13">
        <f t="shared" si="6"/>
        <v>8169945</v>
      </c>
      <c r="AC55" s="13">
        <f t="shared" si="7"/>
        <v>8169945</v>
      </c>
      <c r="AD55" s="13">
        <f t="shared" si="8"/>
        <v>0</v>
      </c>
    </row>
    <row r="56" spans="1:30" ht="51" x14ac:dyDescent="0.25">
      <c r="A56" s="7">
        <f t="shared" si="0"/>
        <v>48</v>
      </c>
      <c r="B56" s="7" t="s">
        <v>326</v>
      </c>
      <c r="C56" s="7" t="s">
        <v>119</v>
      </c>
      <c r="D56" s="8" t="str">
        <f>INDEX('Summary by Assessment'!$C$5:$C$101,MATCH(C56,'Summary by Assessment'!$B$5:$B$101,0))</f>
        <v>Perth</v>
      </c>
      <c r="E56" s="9" t="s">
        <v>120</v>
      </c>
      <c r="F56" s="9" t="s">
        <v>50</v>
      </c>
      <c r="G56" s="9" t="s">
        <v>51</v>
      </c>
      <c r="H56" s="7" t="s">
        <v>112</v>
      </c>
      <c r="I56" s="7" t="s">
        <v>53</v>
      </c>
      <c r="J56" s="9" t="s">
        <v>313</v>
      </c>
      <c r="K56" s="9" t="s">
        <v>94</v>
      </c>
      <c r="L56" s="9" t="s">
        <v>314</v>
      </c>
      <c r="M56" s="10">
        <v>4</v>
      </c>
      <c r="N56" s="10">
        <v>4</v>
      </c>
      <c r="O56" s="7">
        <f t="shared" si="1"/>
        <v>16</v>
      </c>
      <c r="P56" s="7" t="str">
        <f>INDEX('Scales &amp; Matrix'!$B$13:$F$17,6-N56,M56)</f>
        <v>High</v>
      </c>
      <c r="Q56" s="9" t="s">
        <v>315</v>
      </c>
      <c r="R56" s="10">
        <v>4</v>
      </c>
      <c r="S56" s="10">
        <v>2</v>
      </c>
      <c r="T56" s="7">
        <f t="shared" si="2"/>
        <v>8</v>
      </c>
      <c r="U56" s="7" t="str">
        <f>INDEX('Scales &amp; Matrix'!$B$13:$F$17,6-S56,R56)</f>
        <v>Moderate</v>
      </c>
      <c r="V56" s="11">
        <f t="shared" si="3"/>
        <v>8</v>
      </c>
      <c r="W56" s="12">
        <f t="shared" si="4"/>
        <v>0.5</v>
      </c>
      <c r="X56" s="9" t="s">
        <v>97</v>
      </c>
      <c r="Y56" s="7" t="s">
        <v>142</v>
      </c>
      <c r="Z56" s="7" t="s">
        <v>316</v>
      </c>
      <c r="AA56" s="9" t="str">
        <f t="shared" si="5"/>
        <v/>
      </c>
      <c r="AB56" s="13">
        <f t="shared" si="6"/>
        <v>8169944</v>
      </c>
      <c r="AC56" s="13">
        <f t="shared" si="7"/>
        <v>8169944</v>
      </c>
      <c r="AD56" s="13">
        <f t="shared" si="8"/>
        <v>0</v>
      </c>
    </row>
    <row r="57" spans="1:30" ht="76.5" x14ac:dyDescent="0.25">
      <c r="A57" s="7">
        <f t="shared" si="0"/>
        <v>48</v>
      </c>
      <c r="B57" s="7" t="s">
        <v>327</v>
      </c>
      <c r="C57" s="7" t="s">
        <v>168</v>
      </c>
      <c r="D57" s="8" t="str">
        <f>INDEX('Summary by Assessment'!$C$5:$C$101,MATCH(C57,'Summary by Assessment'!$B$5:$B$101,0))</f>
        <v>Fremantle</v>
      </c>
      <c r="E57" s="9" t="s">
        <v>169</v>
      </c>
      <c r="F57" s="9" t="s">
        <v>170</v>
      </c>
      <c r="G57" s="9" t="s">
        <v>51</v>
      </c>
      <c r="H57" s="7" t="s">
        <v>171</v>
      </c>
      <c r="I57" s="7" t="s">
        <v>53</v>
      </c>
      <c r="J57" s="9" t="s">
        <v>328</v>
      </c>
      <c r="K57" s="9" t="s">
        <v>329</v>
      </c>
      <c r="L57" s="9" t="s">
        <v>330</v>
      </c>
      <c r="M57" s="10">
        <v>5</v>
      </c>
      <c r="N57" s="10">
        <v>3</v>
      </c>
      <c r="O57" s="7">
        <f t="shared" si="1"/>
        <v>15</v>
      </c>
      <c r="P57" s="7" t="str">
        <f>INDEX('Scales &amp; Matrix'!$B$13:$F$17,6-N57,M57)</f>
        <v>High</v>
      </c>
      <c r="Q57" s="9" t="s">
        <v>331</v>
      </c>
      <c r="R57" s="10">
        <v>4</v>
      </c>
      <c r="S57" s="10">
        <v>2</v>
      </c>
      <c r="T57" s="7">
        <f t="shared" si="2"/>
        <v>8</v>
      </c>
      <c r="U57" s="7" t="str">
        <f>INDEX('Scales &amp; Matrix'!$B$13:$F$17,6-S57,R57)</f>
        <v>Moderate</v>
      </c>
      <c r="V57" s="11">
        <f t="shared" si="3"/>
        <v>7</v>
      </c>
      <c r="W57" s="12">
        <f t="shared" si="4"/>
        <v>0.46666666666666667</v>
      </c>
      <c r="X57" s="9" t="s">
        <v>215</v>
      </c>
      <c r="Y57" s="7" t="s">
        <v>45</v>
      </c>
      <c r="Z57" s="7" t="s">
        <v>316</v>
      </c>
      <c r="AA57" s="9" t="str">
        <f t="shared" si="5"/>
        <v/>
      </c>
      <c r="AB57" s="13">
        <f t="shared" si="6"/>
        <v>8159943</v>
      </c>
      <c r="AC57" s="13">
        <f t="shared" si="7"/>
        <v>0</v>
      </c>
      <c r="AD57" s="13">
        <f t="shared" si="8"/>
        <v>8159943</v>
      </c>
    </row>
    <row r="58" spans="1:30" ht="76.5" x14ac:dyDescent="0.25">
      <c r="A58" s="7">
        <f t="shared" si="0"/>
        <v>48</v>
      </c>
      <c r="B58" s="7" t="s">
        <v>332</v>
      </c>
      <c r="C58" s="7" t="s">
        <v>333</v>
      </c>
      <c r="D58" s="8" t="str">
        <f>INDEX('Summary by Assessment'!$C$5:$C$101,MATCH(C58,'Summary by Assessment'!$B$5:$B$101,0))</f>
        <v>Perth</v>
      </c>
      <c r="E58" s="9" t="s">
        <v>334</v>
      </c>
      <c r="F58" s="9" t="s">
        <v>170</v>
      </c>
      <c r="G58" s="9" t="s">
        <v>210</v>
      </c>
      <c r="H58" s="7" t="s">
        <v>335</v>
      </c>
      <c r="I58" s="7" t="s">
        <v>53</v>
      </c>
      <c r="J58" s="9" t="s">
        <v>328</v>
      </c>
      <c r="K58" s="9" t="s">
        <v>329</v>
      </c>
      <c r="L58" s="9" t="s">
        <v>330</v>
      </c>
      <c r="M58" s="10">
        <v>5</v>
      </c>
      <c r="N58" s="10">
        <v>3</v>
      </c>
      <c r="O58" s="7">
        <f t="shared" si="1"/>
        <v>15</v>
      </c>
      <c r="P58" s="7" t="str">
        <f>INDEX('Scales &amp; Matrix'!$B$13:$F$17,6-N58,M58)</f>
        <v>High</v>
      </c>
      <c r="Q58" s="9" t="s">
        <v>331</v>
      </c>
      <c r="R58" s="10">
        <v>4</v>
      </c>
      <c r="S58" s="10">
        <v>2</v>
      </c>
      <c r="T58" s="7">
        <f t="shared" si="2"/>
        <v>8</v>
      </c>
      <c r="U58" s="7" t="str">
        <f>INDEX('Scales &amp; Matrix'!$B$13:$F$17,6-S58,R58)</f>
        <v>Moderate</v>
      </c>
      <c r="V58" s="11">
        <f t="shared" si="3"/>
        <v>7</v>
      </c>
      <c r="W58" s="12">
        <f t="shared" si="4"/>
        <v>0.46666666666666667</v>
      </c>
      <c r="X58" s="9" t="s">
        <v>215</v>
      </c>
      <c r="Y58" s="7" t="s">
        <v>45</v>
      </c>
      <c r="Z58" s="7" t="s">
        <v>316</v>
      </c>
      <c r="AA58" s="9" t="str">
        <f t="shared" si="5"/>
        <v/>
      </c>
      <c r="AB58" s="13">
        <f t="shared" si="6"/>
        <v>8159942</v>
      </c>
      <c r="AC58" s="13">
        <f t="shared" si="7"/>
        <v>8159942</v>
      </c>
      <c r="AD58" s="13">
        <f t="shared" si="8"/>
        <v>0</v>
      </c>
    </row>
    <row r="59" spans="1:30" ht="102" x14ac:dyDescent="0.25">
      <c r="A59" s="7">
        <f t="shared" si="0"/>
        <v>48</v>
      </c>
      <c r="B59" s="7" t="s">
        <v>336</v>
      </c>
      <c r="C59" s="7" t="s">
        <v>337</v>
      </c>
      <c r="D59" s="8" t="str">
        <f>INDEX('Summary by Assessment'!$C$5:$C$101,MATCH(C59,'Summary by Assessment'!$B$5:$B$101,0))</f>
        <v>Perth</v>
      </c>
      <c r="E59" s="9" t="s">
        <v>338</v>
      </c>
      <c r="F59" s="9" t="s">
        <v>170</v>
      </c>
      <c r="G59" s="9" t="s">
        <v>51</v>
      </c>
      <c r="H59" s="7" t="s">
        <v>339</v>
      </c>
      <c r="I59" s="7" t="s">
        <v>53</v>
      </c>
      <c r="J59" s="9" t="s">
        <v>340</v>
      </c>
      <c r="K59" s="9" t="s">
        <v>341</v>
      </c>
      <c r="L59" s="9" t="s">
        <v>342</v>
      </c>
      <c r="M59" s="10">
        <v>5</v>
      </c>
      <c r="N59" s="10">
        <v>3</v>
      </c>
      <c r="O59" s="7">
        <f t="shared" si="1"/>
        <v>15</v>
      </c>
      <c r="P59" s="7" t="str">
        <f>INDEX('Scales &amp; Matrix'!$B$13:$F$17,6-N59,M59)</f>
        <v>High</v>
      </c>
      <c r="Q59" s="9" t="s">
        <v>343</v>
      </c>
      <c r="R59" s="10">
        <v>4</v>
      </c>
      <c r="S59" s="10">
        <v>2</v>
      </c>
      <c r="T59" s="7">
        <f t="shared" si="2"/>
        <v>8</v>
      </c>
      <c r="U59" s="7" t="str">
        <f>INDEX('Scales &amp; Matrix'!$B$13:$F$17,6-S59,R59)</f>
        <v>Moderate</v>
      </c>
      <c r="V59" s="11">
        <f t="shared" si="3"/>
        <v>7</v>
      </c>
      <c r="W59" s="12">
        <f t="shared" si="4"/>
        <v>0.46666666666666667</v>
      </c>
      <c r="X59" s="9" t="s">
        <v>215</v>
      </c>
      <c r="Y59" s="7" t="s">
        <v>45</v>
      </c>
      <c r="Z59" s="7" t="s">
        <v>316</v>
      </c>
      <c r="AA59" s="9" t="str">
        <f t="shared" si="5"/>
        <v/>
      </c>
      <c r="AB59" s="13">
        <f t="shared" si="6"/>
        <v>8159941</v>
      </c>
      <c r="AC59" s="13">
        <f t="shared" si="7"/>
        <v>8159941</v>
      </c>
      <c r="AD59" s="13">
        <f t="shared" si="8"/>
        <v>0</v>
      </c>
    </row>
    <row r="60" spans="1:30" ht="89.25" x14ac:dyDescent="0.25">
      <c r="A60" s="7">
        <f t="shared" si="0"/>
        <v>48</v>
      </c>
      <c r="B60" s="7" t="s">
        <v>344</v>
      </c>
      <c r="C60" s="7" t="s">
        <v>69</v>
      </c>
      <c r="D60" s="8" t="str">
        <f>INDEX('Summary by Assessment'!$C$5:$C$101,MATCH(C60,'Summary by Assessment'!$B$5:$B$101,0))</f>
        <v>Fremantle</v>
      </c>
      <c r="E60" s="9" t="s">
        <v>70</v>
      </c>
      <c r="F60" s="9" t="s">
        <v>50</v>
      </c>
      <c r="G60" s="9" t="s">
        <v>51</v>
      </c>
      <c r="H60" s="7" t="s">
        <v>71</v>
      </c>
      <c r="I60" s="7" t="s">
        <v>53</v>
      </c>
      <c r="J60" s="9" t="s">
        <v>345</v>
      </c>
      <c r="K60" s="9" t="s">
        <v>64</v>
      </c>
      <c r="L60" s="9" t="s">
        <v>346</v>
      </c>
      <c r="M60" s="10">
        <v>4</v>
      </c>
      <c r="N60" s="10">
        <v>3</v>
      </c>
      <c r="O60" s="7">
        <f t="shared" si="1"/>
        <v>12</v>
      </c>
      <c r="P60" s="7" t="str">
        <f>INDEX('Scales &amp; Matrix'!$B$13:$F$17,6-N60,M60)</f>
        <v>High</v>
      </c>
      <c r="Q60" s="9" t="s">
        <v>347</v>
      </c>
      <c r="R60" s="10">
        <v>4</v>
      </c>
      <c r="S60" s="10">
        <v>2</v>
      </c>
      <c r="T60" s="7">
        <f t="shared" si="2"/>
        <v>8</v>
      </c>
      <c r="U60" s="7" t="str">
        <f>INDEX('Scales &amp; Matrix'!$B$13:$F$17,6-S60,R60)</f>
        <v>Moderate</v>
      </c>
      <c r="V60" s="11">
        <f t="shared" si="3"/>
        <v>4</v>
      </c>
      <c r="W60" s="12">
        <f t="shared" si="4"/>
        <v>0.33333333333333331</v>
      </c>
      <c r="X60" s="9" t="s">
        <v>67</v>
      </c>
      <c r="Y60" s="7" t="s">
        <v>46</v>
      </c>
      <c r="Z60" s="7" t="s">
        <v>316</v>
      </c>
      <c r="AA60" s="9" t="str">
        <f t="shared" si="5"/>
        <v/>
      </c>
      <c r="AB60" s="13">
        <f t="shared" si="6"/>
        <v>8129940</v>
      </c>
      <c r="AC60" s="13">
        <f t="shared" si="7"/>
        <v>0</v>
      </c>
      <c r="AD60" s="13">
        <f t="shared" si="8"/>
        <v>8129940</v>
      </c>
    </row>
    <row r="61" spans="1:30" ht="102" x14ac:dyDescent="0.25">
      <c r="A61" s="7">
        <f t="shared" si="0"/>
        <v>48</v>
      </c>
      <c r="B61" s="7" t="s">
        <v>348</v>
      </c>
      <c r="C61" s="7" t="s">
        <v>349</v>
      </c>
      <c r="D61" s="8" t="str">
        <f>INDEX('Summary by Assessment'!$C$5:$C$101,MATCH(C61,'Summary by Assessment'!$B$5:$B$101,0))</f>
        <v>Fremantle</v>
      </c>
      <c r="E61" s="9" t="s">
        <v>350</v>
      </c>
      <c r="F61" s="9" t="s">
        <v>50</v>
      </c>
      <c r="G61" s="9" t="s">
        <v>51</v>
      </c>
      <c r="H61" s="7" t="s">
        <v>91</v>
      </c>
      <c r="I61" s="7" t="s">
        <v>53</v>
      </c>
      <c r="J61" s="9" t="s">
        <v>351</v>
      </c>
      <c r="K61" s="9" t="s">
        <v>64</v>
      </c>
      <c r="L61" s="9" t="s">
        <v>352</v>
      </c>
      <c r="M61" s="10">
        <v>4</v>
      </c>
      <c r="N61" s="10">
        <v>3</v>
      </c>
      <c r="O61" s="7">
        <f t="shared" si="1"/>
        <v>12</v>
      </c>
      <c r="P61" s="7" t="str">
        <f>INDEX('Scales &amp; Matrix'!$B$13:$F$17,6-N61,M61)</f>
        <v>High</v>
      </c>
      <c r="Q61" s="9" t="s">
        <v>353</v>
      </c>
      <c r="R61" s="10">
        <v>4</v>
      </c>
      <c r="S61" s="10">
        <v>2</v>
      </c>
      <c r="T61" s="7">
        <f t="shared" si="2"/>
        <v>8</v>
      </c>
      <c r="U61" s="7" t="str">
        <f>INDEX('Scales &amp; Matrix'!$B$13:$F$17,6-S61,R61)</f>
        <v>Moderate</v>
      </c>
      <c r="V61" s="11">
        <f t="shared" si="3"/>
        <v>4</v>
      </c>
      <c r="W61" s="12">
        <f t="shared" si="4"/>
        <v>0.33333333333333331</v>
      </c>
      <c r="X61" s="9" t="s">
        <v>176</v>
      </c>
      <c r="Y61" s="7" t="s">
        <v>46</v>
      </c>
      <c r="Z61" s="7" t="s">
        <v>316</v>
      </c>
      <c r="AA61" s="9" t="str">
        <f t="shared" si="5"/>
        <v/>
      </c>
      <c r="AB61" s="13">
        <f t="shared" si="6"/>
        <v>8129939</v>
      </c>
      <c r="AC61" s="13">
        <f t="shared" si="7"/>
        <v>0</v>
      </c>
      <c r="AD61" s="13">
        <f t="shared" si="8"/>
        <v>8129939</v>
      </c>
    </row>
    <row r="62" spans="1:30" ht="280.5" x14ac:dyDescent="0.25">
      <c r="A62" s="7">
        <f t="shared" si="0"/>
        <v>48</v>
      </c>
      <c r="B62" s="7" t="s">
        <v>354</v>
      </c>
      <c r="C62" s="7" t="s">
        <v>355</v>
      </c>
      <c r="D62" s="8" t="str">
        <f>INDEX('Summary by Assessment'!$C$5:$C$101,MATCH(C62,'Summary by Assessment'!$B$5:$B$101,0))</f>
        <v>Fremantle</v>
      </c>
      <c r="E62" s="9" t="s">
        <v>356</v>
      </c>
      <c r="F62" s="9" t="s">
        <v>232</v>
      </c>
      <c r="G62" s="9" t="s">
        <v>51</v>
      </c>
      <c r="H62" s="7" t="s">
        <v>357</v>
      </c>
      <c r="I62" s="7" t="s">
        <v>218</v>
      </c>
      <c r="J62" s="9" t="s">
        <v>358</v>
      </c>
      <c r="K62" s="9" t="s">
        <v>359</v>
      </c>
      <c r="L62" s="9" t="s">
        <v>360</v>
      </c>
      <c r="M62" s="10">
        <v>4</v>
      </c>
      <c r="N62" s="10">
        <v>3</v>
      </c>
      <c r="O62" s="7">
        <f t="shared" si="1"/>
        <v>12</v>
      </c>
      <c r="P62" s="7" t="str">
        <f>INDEX('Scales &amp; Matrix'!$B$13:$F$17,6-N62,M62)</f>
        <v>High</v>
      </c>
      <c r="Q62" s="9" t="s">
        <v>361</v>
      </c>
      <c r="R62" s="10">
        <v>4</v>
      </c>
      <c r="S62" s="10">
        <v>2</v>
      </c>
      <c r="T62" s="7">
        <f t="shared" si="2"/>
        <v>8</v>
      </c>
      <c r="U62" s="7" t="str">
        <f>INDEX('Scales &amp; Matrix'!$B$13:$F$17,6-S62,R62)</f>
        <v>Moderate</v>
      </c>
      <c r="V62" s="11">
        <f t="shared" si="3"/>
        <v>4</v>
      </c>
      <c r="W62" s="12">
        <f t="shared" si="4"/>
        <v>0.33333333333333331</v>
      </c>
      <c r="X62" s="9" t="s">
        <v>362</v>
      </c>
      <c r="Y62" s="7" t="s">
        <v>46</v>
      </c>
      <c r="Z62" s="7" t="s">
        <v>316</v>
      </c>
      <c r="AA62" s="9" t="str">
        <f t="shared" si="5"/>
        <v/>
      </c>
      <c r="AB62" s="13">
        <f t="shared" si="6"/>
        <v>8129938</v>
      </c>
      <c r="AC62" s="13">
        <f t="shared" si="7"/>
        <v>0</v>
      </c>
      <c r="AD62" s="13">
        <f t="shared" si="8"/>
        <v>8129938</v>
      </c>
    </row>
    <row r="63" spans="1:30" ht="127.5" x14ac:dyDescent="0.25">
      <c r="A63" s="7">
        <f t="shared" si="0"/>
        <v>48</v>
      </c>
      <c r="B63" s="7" t="s">
        <v>363</v>
      </c>
      <c r="C63" s="7" t="s">
        <v>355</v>
      </c>
      <c r="D63" s="8" t="str">
        <f>INDEX('Summary by Assessment'!$C$5:$C$101,MATCH(C63,'Summary by Assessment'!$B$5:$B$101,0))</f>
        <v>Fremantle</v>
      </c>
      <c r="E63" s="9" t="s">
        <v>356</v>
      </c>
      <c r="F63" s="9" t="s">
        <v>232</v>
      </c>
      <c r="G63" s="9" t="s">
        <v>51</v>
      </c>
      <c r="H63" s="7" t="s">
        <v>357</v>
      </c>
      <c r="I63" s="7" t="s">
        <v>62</v>
      </c>
      <c r="J63" s="9" t="s">
        <v>364</v>
      </c>
      <c r="K63" s="9" t="s">
        <v>365</v>
      </c>
      <c r="L63" s="9" t="s">
        <v>366</v>
      </c>
      <c r="M63" s="10">
        <v>4</v>
      </c>
      <c r="N63" s="10">
        <v>3</v>
      </c>
      <c r="O63" s="7">
        <f t="shared" si="1"/>
        <v>12</v>
      </c>
      <c r="P63" s="7" t="str">
        <f>INDEX('Scales &amp; Matrix'!$B$13:$F$17,6-N63,M63)</f>
        <v>High</v>
      </c>
      <c r="Q63" s="9" t="s">
        <v>367</v>
      </c>
      <c r="R63" s="10">
        <v>4</v>
      </c>
      <c r="S63" s="10">
        <v>2</v>
      </c>
      <c r="T63" s="7">
        <f t="shared" si="2"/>
        <v>8</v>
      </c>
      <c r="U63" s="7" t="str">
        <f>INDEX('Scales &amp; Matrix'!$B$13:$F$17,6-S63,R63)</f>
        <v>Moderate</v>
      </c>
      <c r="V63" s="11">
        <f t="shared" si="3"/>
        <v>4</v>
      </c>
      <c r="W63" s="12">
        <f t="shared" si="4"/>
        <v>0.33333333333333331</v>
      </c>
      <c r="X63" s="9" t="s">
        <v>362</v>
      </c>
      <c r="Y63" s="7" t="s">
        <v>46</v>
      </c>
      <c r="Z63" s="7" t="s">
        <v>316</v>
      </c>
      <c r="AA63" s="9" t="str">
        <f t="shared" si="5"/>
        <v/>
      </c>
      <c r="AB63" s="13">
        <f t="shared" si="6"/>
        <v>8129937</v>
      </c>
      <c r="AC63" s="13">
        <f t="shared" si="7"/>
        <v>0</v>
      </c>
      <c r="AD63" s="13">
        <f t="shared" si="8"/>
        <v>8129937</v>
      </c>
    </row>
    <row r="64" spans="1:30" ht="89.25" x14ac:dyDescent="0.25">
      <c r="A64" s="7">
        <f t="shared" si="0"/>
        <v>48</v>
      </c>
      <c r="B64" s="7" t="s">
        <v>368</v>
      </c>
      <c r="C64" s="7" t="s">
        <v>369</v>
      </c>
      <c r="D64" s="8" t="str">
        <f>INDEX('Summary by Assessment'!$C$5:$C$101,MATCH(C64,'Summary by Assessment'!$B$5:$B$101,0))</f>
        <v>Fremantle</v>
      </c>
      <c r="E64" s="9" t="s">
        <v>370</v>
      </c>
      <c r="F64" s="9" t="s">
        <v>36</v>
      </c>
      <c r="G64" s="9" t="s">
        <v>51</v>
      </c>
      <c r="H64" s="7" t="s">
        <v>91</v>
      </c>
      <c r="I64" s="7" t="s">
        <v>53</v>
      </c>
      <c r="J64" s="9" t="s">
        <v>371</v>
      </c>
      <c r="K64" s="9" t="s">
        <v>372</v>
      </c>
      <c r="L64" s="9" t="s">
        <v>373</v>
      </c>
      <c r="M64" s="10">
        <v>4</v>
      </c>
      <c r="N64" s="10">
        <v>3</v>
      </c>
      <c r="O64" s="7">
        <f t="shared" si="1"/>
        <v>12</v>
      </c>
      <c r="P64" s="7" t="str">
        <f>INDEX('Scales &amp; Matrix'!$B$13:$F$17,6-N64,M64)</f>
        <v>High</v>
      </c>
      <c r="Q64" s="9" t="s">
        <v>374</v>
      </c>
      <c r="R64" s="10">
        <v>4</v>
      </c>
      <c r="S64" s="10">
        <v>2</v>
      </c>
      <c r="T64" s="7">
        <f t="shared" si="2"/>
        <v>8</v>
      </c>
      <c r="U64" s="7" t="str">
        <f>INDEX('Scales &amp; Matrix'!$B$13:$F$17,6-S64,R64)</f>
        <v>Moderate</v>
      </c>
      <c r="V64" s="11">
        <f t="shared" si="3"/>
        <v>4</v>
      </c>
      <c r="W64" s="12">
        <f t="shared" si="4"/>
        <v>0.33333333333333331</v>
      </c>
      <c r="X64" s="9" t="s">
        <v>67</v>
      </c>
      <c r="Y64" s="7" t="s">
        <v>46</v>
      </c>
      <c r="Z64" s="7" t="s">
        <v>316</v>
      </c>
      <c r="AA64" s="9" t="str">
        <f t="shared" si="5"/>
        <v/>
      </c>
      <c r="AB64" s="13">
        <f t="shared" si="6"/>
        <v>8129936</v>
      </c>
      <c r="AC64" s="13">
        <f t="shared" si="7"/>
        <v>0</v>
      </c>
      <c r="AD64" s="13">
        <f t="shared" si="8"/>
        <v>8129936</v>
      </c>
    </row>
    <row r="65" spans="1:30" ht="51" x14ac:dyDescent="0.25">
      <c r="A65" s="7">
        <f t="shared" si="0"/>
        <v>48</v>
      </c>
      <c r="B65" s="7" t="s">
        <v>375</v>
      </c>
      <c r="C65" s="7" t="s">
        <v>89</v>
      </c>
      <c r="D65" s="8" t="str">
        <f>INDEX('Summary by Assessment'!$C$5:$C$101,MATCH(C65,'Summary by Assessment'!$B$5:$B$101,0))</f>
        <v>Fremantle</v>
      </c>
      <c r="E65" s="9" t="s">
        <v>90</v>
      </c>
      <c r="F65" s="9" t="s">
        <v>50</v>
      </c>
      <c r="G65" s="9" t="s">
        <v>51</v>
      </c>
      <c r="H65" s="7" t="s">
        <v>91</v>
      </c>
      <c r="I65" s="7" t="s">
        <v>218</v>
      </c>
      <c r="J65" s="9" t="s">
        <v>376</v>
      </c>
      <c r="K65" s="9" t="s">
        <v>94</v>
      </c>
      <c r="L65" s="9" t="s">
        <v>377</v>
      </c>
      <c r="M65" s="10">
        <v>4</v>
      </c>
      <c r="N65" s="10">
        <v>3</v>
      </c>
      <c r="O65" s="7">
        <f t="shared" si="1"/>
        <v>12</v>
      </c>
      <c r="P65" s="7" t="str">
        <f>INDEX('Scales &amp; Matrix'!$B$13:$F$17,6-N65,M65)</f>
        <v>High</v>
      </c>
      <c r="Q65" s="9" t="s">
        <v>378</v>
      </c>
      <c r="R65" s="10">
        <v>4</v>
      </c>
      <c r="S65" s="10">
        <v>2</v>
      </c>
      <c r="T65" s="7">
        <f t="shared" si="2"/>
        <v>8</v>
      </c>
      <c r="U65" s="7" t="str">
        <f>INDEX('Scales &amp; Matrix'!$B$13:$F$17,6-S65,R65)</f>
        <v>Moderate</v>
      </c>
      <c r="V65" s="11">
        <f t="shared" si="3"/>
        <v>4</v>
      </c>
      <c r="W65" s="12">
        <f t="shared" si="4"/>
        <v>0.33333333333333331</v>
      </c>
      <c r="X65" s="9" t="s">
        <v>97</v>
      </c>
      <c r="Y65" s="7" t="s">
        <v>46</v>
      </c>
      <c r="Z65" s="7" t="s">
        <v>316</v>
      </c>
      <c r="AA65" s="9" t="str">
        <f t="shared" si="5"/>
        <v/>
      </c>
      <c r="AB65" s="13">
        <f t="shared" si="6"/>
        <v>8129935</v>
      </c>
      <c r="AC65" s="13">
        <f t="shared" si="7"/>
        <v>0</v>
      </c>
      <c r="AD65" s="13">
        <f t="shared" si="8"/>
        <v>8129935</v>
      </c>
    </row>
    <row r="66" spans="1:30" ht="51" x14ac:dyDescent="0.25">
      <c r="A66" s="7">
        <f t="shared" si="0"/>
        <v>48</v>
      </c>
      <c r="B66" s="7" t="s">
        <v>379</v>
      </c>
      <c r="C66" s="7" t="s">
        <v>99</v>
      </c>
      <c r="D66" s="8" t="str">
        <f>INDEX('Summary by Assessment'!$C$5:$C$101,MATCH(C66,'Summary by Assessment'!$B$5:$B$101,0))</f>
        <v>Fremantle</v>
      </c>
      <c r="E66" s="9" t="s">
        <v>100</v>
      </c>
      <c r="F66" s="9" t="s">
        <v>50</v>
      </c>
      <c r="G66" s="9" t="s">
        <v>51</v>
      </c>
      <c r="H66" s="7" t="s">
        <v>101</v>
      </c>
      <c r="I66" s="7" t="s">
        <v>218</v>
      </c>
      <c r="J66" s="9" t="s">
        <v>380</v>
      </c>
      <c r="K66" s="9" t="s">
        <v>94</v>
      </c>
      <c r="L66" s="9" t="s">
        <v>381</v>
      </c>
      <c r="M66" s="10">
        <v>4</v>
      </c>
      <c r="N66" s="10">
        <v>3</v>
      </c>
      <c r="O66" s="7">
        <f t="shared" si="1"/>
        <v>12</v>
      </c>
      <c r="P66" s="7" t="str">
        <f>INDEX('Scales &amp; Matrix'!$B$13:$F$17,6-N66,M66)</f>
        <v>High</v>
      </c>
      <c r="Q66" s="9" t="s">
        <v>382</v>
      </c>
      <c r="R66" s="10">
        <v>4</v>
      </c>
      <c r="S66" s="10">
        <v>2</v>
      </c>
      <c r="T66" s="7">
        <f t="shared" si="2"/>
        <v>8</v>
      </c>
      <c r="U66" s="7" t="str">
        <f>INDEX('Scales &amp; Matrix'!$B$13:$F$17,6-S66,R66)</f>
        <v>Moderate</v>
      </c>
      <c r="V66" s="11">
        <f t="shared" si="3"/>
        <v>4</v>
      </c>
      <c r="W66" s="12">
        <f t="shared" si="4"/>
        <v>0.33333333333333331</v>
      </c>
      <c r="X66" s="9" t="s">
        <v>105</v>
      </c>
      <c r="Y66" s="7" t="s">
        <v>46</v>
      </c>
      <c r="Z66" s="7" t="s">
        <v>316</v>
      </c>
      <c r="AA66" s="9" t="str">
        <f t="shared" si="5"/>
        <v/>
      </c>
      <c r="AB66" s="13">
        <f t="shared" si="6"/>
        <v>8129934</v>
      </c>
      <c r="AC66" s="13">
        <f t="shared" si="7"/>
        <v>0</v>
      </c>
      <c r="AD66" s="13">
        <f t="shared" si="8"/>
        <v>8129934</v>
      </c>
    </row>
    <row r="67" spans="1:30" ht="51" x14ac:dyDescent="0.25">
      <c r="A67" s="7">
        <f t="shared" si="0"/>
        <v>48</v>
      </c>
      <c r="B67" s="7" t="s">
        <v>383</v>
      </c>
      <c r="C67" s="7" t="s">
        <v>107</v>
      </c>
      <c r="D67" s="8" t="str">
        <f>INDEX('Summary by Assessment'!$C$5:$C$101,MATCH(C67,'Summary by Assessment'!$B$5:$B$101,0))</f>
        <v>Fremantle</v>
      </c>
      <c r="E67" s="9" t="s">
        <v>108</v>
      </c>
      <c r="F67" s="9" t="s">
        <v>50</v>
      </c>
      <c r="G67" s="9" t="s">
        <v>51</v>
      </c>
      <c r="H67" s="7" t="s">
        <v>101</v>
      </c>
      <c r="I67" s="7" t="s">
        <v>218</v>
      </c>
      <c r="J67" s="9" t="s">
        <v>376</v>
      </c>
      <c r="K67" s="9" t="s">
        <v>94</v>
      </c>
      <c r="L67" s="9" t="s">
        <v>377</v>
      </c>
      <c r="M67" s="10">
        <v>4</v>
      </c>
      <c r="N67" s="10">
        <v>3</v>
      </c>
      <c r="O67" s="7">
        <f t="shared" si="1"/>
        <v>12</v>
      </c>
      <c r="P67" s="7" t="str">
        <f>INDEX('Scales &amp; Matrix'!$B$13:$F$17,6-N67,M67)</f>
        <v>High</v>
      </c>
      <c r="Q67" s="9" t="s">
        <v>378</v>
      </c>
      <c r="R67" s="10">
        <v>4</v>
      </c>
      <c r="S67" s="10">
        <v>2</v>
      </c>
      <c r="T67" s="7">
        <f t="shared" si="2"/>
        <v>8</v>
      </c>
      <c r="U67" s="7" t="str">
        <f>INDEX('Scales &amp; Matrix'!$B$13:$F$17,6-S67,R67)</f>
        <v>Moderate</v>
      </c>
      <c r="V67" s="11">
        <f t="shared" si="3"/>
        <v>4</v>
      </c>
      <c r="W67" s="12">
        <f t="shared" si="4"/>
        <v>0.33333333333333331</v>
      </c>
      <c r="X67" s="9" t="s">
        <v>105</v>
      </c>
      <c r="Y67" s="7" t="s">
        <v>46</v>
      </c>
      <c r="Z67" s="7" t="s">
        <v>316</v>
      </c>
      <c r="AA67" s="9" t="str">
        <f t="shared" si="5"/>
        <v/>
      </c>
      <c r="AB67" s="13">
        <f t="shared" si="6"/>
        <v>8129933</v>
      </c>
      <c r="AC67" s="13">
        <f t="shared" si="7"/>
        <v>0</v>
      </c>
      <c r="AD67" s="13">
        <f t="shared" si="8"/>
        <v>8129933</v>
      </c>
    </row>
    <row r="68" spans="1:30" ht="51" x14ac:dyDescent="0.25">
      <c r="A68" s="7">
        <f t="shared" si="0"/>
        <v>48</v>
      </c>
      <c r="B68" s="7" t="s">
        <v>384</v>
      </c>
      <c r="C68" s="7" t="s">
        <v>385</v>
      </c>
      <c r="D68" s="8" t="str">
        <f>INDEX('Summary by Assessment'!$C$5:$C$101,MATCH(C68,'Summary by Assessment'!$B$5:$B$101,0))</f>
        <v>Perth</v>
      </c>
      <c r="E68" s="9" t="s">
        <v>386</v>
      </c>
      <c r="F68" s="9" t="s">
        <v>36</v>
      </c>
      <c r="G68" s="9" t="s">
        <v>51</v>
      </c>
      <c r="H68" s="7" t="s">
        <v>52</v>
      </c>
      <c r="I68" s="7" t="s">
        <v>53</v>
      </c>
      <c r="J68" s="9" t="s">
        <v>387</v>
      </c>
      <c r="K68" s="9" t="s">
        <v>189</v>
      </c>
      <c r="L68" s="9" t="s">
        <v>388</v>
      </c>
      <c r="M68" s="10">
        <v>4</v>
      </c>
      <c r="N68" s="10">
        <v>3</v>
      </c>
      <c r="O68" s="7">
        <f t="shared" si="1"/>
        <v>12</v>
      </c>
      <c r="P68" s="7" t="str">
        <f>INDEX('Scales &amp; Matrix'!$B$13:$F$17,6-N68,M68)</f>
        <v>High</v>
      </c>
      <c r="Q68" s="9" t="s">
        <v>389</v>
      </c>
      <c r="R68" s="10">
        <v>4</v>
      </c>
      <c r="S68" s="10">
        <v>2</v>
      </c>
      <c r="T68" s="7">
        <f t="shared" si="2"/>
        <v>8</v>
      </c>
      <c r="U68" s="7" t="str">
        <f>INDEX('Scales &amp; Matrix'!$B$13:$F$17,6-S68,R68)</f>
        <v>Moderate</v>
      </c>
      <c r="V68" s="11">
        <f t="shared" si="3"/>
        <v>4</v>
      </c>
      <c r="W68" s="12">
        <f t="shared" si="4"/>
        <v>0.33333333333333331</v>
      </c>
      <c r="X68" s="9" t="s">
        <v>67</v>
      </c>
      <c r="Y68" s="7" t="s">
        <v>46</v>
      </c>
      <c r="Z68" s="7" t="s">
        <v>316</v>
      </c>
      <c r="AA68" s="9" t="str">
        <f t="shared" si="5"/>
        <v/>
      </c>
      <c r="AB68" s="13">
        <f t="shared" si="6"/>
        <v>8129932</v>
      </c>
      <c r="AC68" s="13">
        <f t="shared" si="7"/>
        <v>8129932</v>
      </c>
      <c r="AD68" s="13">
        <f t="shared" si="8"/>
        <v>0</v>
      </c>
    </row>
    <row r="69" spans="1:30" ht="89.25" x14ac:dyDescent="0.25">
      <c r="A69" s="7">
        <f t="shared" ref="A69:A132" si="9">COUNTIF($T$5:$T$297,"&gt;"&amp;T69)+1</f>
        <v>48</v>
      </c>
      <c r="B69" s="7" t="s">
        <v>390</v>
      </c>
      <c r="C69" s="7" t="s">
        <v>78</v>
      </c>
      <c r="D69" s="8" t="str">
        <f>INDEX('Summary by Assessment'!$C$5:$C$101,MATCH(C69,'Summary by Assessment'!$B$5:$B$101,0))</f>
        <v>Perth</v>
      </c>
      <c r="E69" s="9" t="s">
        <v>70</v>
      </c>
      <c r="F69" s="9" t="s">
        <v>50</v>
      </c>
      <c r="G69" s="9" t="s">
        <v>51</v>
      </c>
      <c r="H69" s="7" t="s">
        <v>52</v>
      </c>
      <c r="I69" s="7" t="s">
        <v>53</v>
      </c>
      <c r="J69" s="9" t="s">
        <v>345</v>
      </c>
      <c r="K69" s="9" t="s">
        <v>64</v>
      </c>
      <c r="L69" s="9" t="s">
        <v>346</v>
      </c>
      <c r="M69" s="10">
        <v>4</v>
      </c>
      <c r="N69" s="10">
        <v>3</v>
      </c>
      <c r="O69" s="7">
        <f t="shared" ref="O69:O132" si="10">M69*N69</f>
        <v>12</v>
      </c>
      <c r="P69" s="7" t="str">
        <f>INDEX('Scales &amp; Matrix'!$B$13:$F$17,6-N69,M69)</f>
        <v>High</v>
      </c>
      <c r="Q69" s="9" t="s">
        <v>347</v>
      </c>
      <c r="R69" s="10">
        <v>4</v>
      </c>
      <c r="S69" s="10">
        <v>2</v>
      </c>
      <c r="T69" s="7">
        <f t="shared" ref="T69:T132" si="11">R69*S69</f>
        <v>8</v>
      </c>
      <c r="U69" s="7" t="str">
        <f>INDEX('Scales &amp; Matrix'!$B$13:$F$17,6-S69,R69)</f>
        <v>Moderate</v>
      </c>
      <c r="V69" s="11">
        <f t="shared" ref="V69:V132" si="12">O69-T69</f>
        <v>4</v>
      </c>
      <c r="W69" s="12">
        <f t="shared" ref="W69:W132" si="13">IF(O69=0,0,V69/O69)</f>
        <v>0.33333333333333331</v>
      </c>
      <c r="X69" s="9" t="s">
        <v>67</v>
      </c>
      <c r="Y69" s="7" t="s">
        <v>46</v>
      </c>
      <c r="Z69" s="7" t="s">
        <v>316</v>
      </c>
      <c r="AA69" s="9" t="str">
        <f t="shared" ref="AA69:AA132" si="14">TRIM(IF(T69&gt;O69,"Residual higher than inherent - check. ","")&amp;IF(O69&lt;&gt;IFERROR(VALUE(TRIM(MID(Y69,FIND(" - ",Y69)+3,3))),0),"Inherent score differs from source form. ","")&amp;IF(T69&lt;&gt;IFERROR(VALUE(TRIM(MID(Z69,FIND(" - ",Z69)+3,3))),0),"Residual score differs from source form. ","")&amp;IF(LOWER(IFERROR(TRIM(LEFT(Z69,FIND(" - ",Z69)-1)),""))&lt;&gt;LOWER(U69),"Source residual rating shown as "&amp;IFERROR(TRIM(LEFT(Z69,FIND(" - ",Z69)-1)),"")&amp;". ","")&amp;IF(LOWER(IFERROR(TRIM(LEFT(Y69,FIND(" - ",Y69)-1)),""))&lt;&gt;LOWER(P69),"Source inherent rating shown as "&amp;IFERROR(TRIM(LEFT(Y69,FIND(" - ",Y69)-1)),"")&amp;". ","")&amp;IF(LEN(TRIM(L69))&lt;6,"Placeholder - no hazard entered on form. ",""))</f>
        <v/>
      </c>
      <c r="AB69" s="13">
        <f t="shared" ref="AB69:AB132" si="15">T69*1000000+O69*10000+(10000-ROW())</f>
        <v>8129931</v>
      </c>
      <c r="AC69" s="13">
        <f t="shared" ref="AC69:AC132" si="16">IF(D69="Perth",AB69,0)</f>
        <v>8129931</v>
      </c>
      <c r="AD69" s="13">
        <f t="shared" ref="AD69:AD132" si="17">IF(D69="Fremantle",AB69,0)</f>
        <v>0</v>
      </c>
    </row>
    <row r="70" spans="1:30" ht="51" x14ac:dyDescent="0.25">
      <c r="A70" s="7">
        <f t="shared" si="9"/>
        <v>48</v>
      </c>
      <c r="B70" s="7" t="s">
        <v>391</v>
      </c>
      <c r="C70" s="7" t="s">
        <v>110</v>
      </c>
      <c r="D70" s="8" t="str">
        <f>INDEX('Summary by Assessment'!$C$5:$C$101,MATCH(C70,'Summary by Assessment'!$B$5:$B$101,0))</f>
        <v>Perth</v>
      </c>
      <c r="E70" s="9" t="s">
        <v>111</v>
      </c>
      <c r="F70" s="9" t="s">
        <v>50</v>
      </c>
      <c r="G70" s="9" t="s">
        <v>51</v>
      </c>
      <c r="H70" s="7" t="s">
        <v>112</v>
      </c>
      <c r="I70" s="7" t="s">
        <v>39</v>
      </c>
      <c r="J70" s="9" t="s">
        <v>392</v>
      </c>
      <c r="K70" s="9" t="s">
        <v>94</v>
      </c>
      <c r="L70" s="9" t="s">
        <v>393</v>
      </c>
      <c r="M70" s="10">
        <v>4</v>
      </c>
      <c r="N70" s="10">
        <v>3</v>
      </c>
      <c r="O70" s="7">
        <f t="shared" si="10"/>
        <v>12</v>
      </c>
      <c r="P70" s="7" t="str">
        <f>INDEX('Scales &amp; Matrix'!$B$13:$F$17,6-N70,M70)</f>
        <v>High</v>
      </c>
      <c r="Q70" s="9" t="s">
        <v>394</v>
      </c>
      <c r="R70" s="10">
        <v>4</v>
      </c>
      <c r="S70" s="10">
        <v>2</v>
      </c>
      <c r="T70" s="7">
        <f t="shared" si="11"/>
        <v>8</v>
      </c>
      <c r="U70" s="7" t="str">
        <f>INDEX('Scales &amp; Matrix'!$B$13:$F$17,6-S70,R70)</f>
        <v>Moderate</v>
      </c>
      <c r="V70" s="11">
        <f t="shared" si="12"/>
        <v>4</v>
      </c>
      <c r="W70" s="12">
        <f t="shared" si="13"/>
        <v>0.33333333333333331</v>
      </c>
      <c r="X70" s="9" t="s">
        <v>97</v>
      </c>
      <c r="Y70" s="7" t="s">
        <v>46</v>
      </c>
      <c r="Z70" s="7" t="s">
        <v>316</v>
      </c>
      <c r="AA70" s="9" t="str">
        <f t="shared" si="14"/>
        <v/>
      </c>
      <c r="AB70" s="13">
        <f t="shared" si="15"/>
        <v>8129930</v>
      </c>
      <c r="AC70" s="13">
        <f t="shared" si="16"/>
        <v>8129930</v>
      </c>
      <c r="AD70" s="13">
        <f t="shared" si="17"/>
        <v>0</v>
      </c>
    </row>
    <row r="71" spans="1:30" ht="51" x14ac:dyDescent="0.25">
      <c r="A71" s="7">
        <f t="shared" si="9"/>
        <v>48</v>
      </c>
      <c r="B71" s="7" t="s">
        <v>395</v>
      </c>
      <c r="C71" s="7" t="s">
        <v>119</v>
      </c>
      <c r="D71" s="8" t="str">
        <f>INDEX('Summary by Assessment'!$C$5:$C$101,MATCH(C71,'Summary by Assessment'!$B$5:$B$101,0))</f>
        <v>Perth</v>
      </c>
      <c r="E71" s="9" t="s">
        <v>120</v>
      </c>
      <c r="F71" s="9" t="s">
        <v>50</v>
      </c>
      <c r="G71" s="9" t="s">
        <v>51</v>
      </c>
      <c r="H71" s="7" t="s">
        <v>112</v>
      </c>
      <c r="I71" s="7" t="s">
        <v>218</v>
      </c>
      <c r="J71" s="9" t="s">
        <v>376</v>
      </c>
      <c r="K71" s="9" t="s">
        <v>94</v>
      </c>
      <c r="L71" s="9" t="s">
        <v>377</v>
      </c>
      <c r="M71" s="10">
        <v>4</v>
      </c>
      <c r="N71" s="10">
        <v>3</v>
      </c>
      <c r="O71" s="7">
        <f t="shared" si="10"/>
        <v>12</v>
      </c>
      <c r="P71" s="7" t="str">
        <f>INDEX('Scales &amp; Matrix'!$B$13:$F$17,6-N71,M71)</f>
        <v>High</v>
      </c>
      <c r="Q71" s="9" t="s">
        <v>378</v>
      </c>
      <c r="R71" s="10">
        <v>4</v>
      </c>
      <c r="S71" s="10">
        <v>2</v>
      </c>
      <c r="T71" s="7">
        <f t="shared" si="11"/>
        <v>8</v>
      </c>
      <c r="U71" s="7" t="str">
        <f>INDEX('Scales &amp; Matrix'!$B$13:$F$17,6-S71,R71)</f>
        <v>Moderate</v>
      </c>
      <c r="V71" s="11">
        <f t="shared" si="12"/>
        <v>4</v>
      </c>
      <c r="W71" s="12">
        <f t="shared" si="13"/>
        <v>0.33333333333333331</v>
      </c>
      <c r="X71" s="9" t="s">
        <v>97</v>
      </c>
      <c r="Y71" s="7" t="s">
        <v>46</v>
      </c>
      <c r="Z71" s="7" t="s">
        <v>316</v>
      </c>
      <c r="AA71" s="9" t="str">
        <f t="shared" si="14"/>
        <v/>
      </c>
      <c r="AB71" s="13">
        <f t="shared" si="15"/>
        <v>8129929</v>
      </c>
      <c r="AC71" s="13">
        <f t="shared" si="16"/>
        <v>8129929</v>
      </c>
      <c r="AD71" s="13">
        <f t="shared" si="17"/>
        <v>0</v>
      </c>
    </row>
    <row r="72" spans="1:30" ht="51" x14ac:dyDescent="0.25">
      <c r="A72" s="7">
        <f t="shared" si="9"/>
        <v>48</v>
      </c>
      <c r="B72" s="7" t="s">
        <v>396</v>
      </c>
      <c r="C72" s="7" t="s">
        <v>122</v>
      </c>
      <c r="D72" s="8" t="str">
        <f>INDEX('Summary by Assessment'!$C$5:$C$101,MATCH(C72,'Summary by Assessment'!$B$5:$B$101,0))</f>
        <v>Perth</v>
      </c>
      <c r="E72" s="9" t="s">
        <v>123</v>
      </c>
      <c r="F72" s="9" t="s">
        <v>50</v>
      </c>
      <c r="G72" s="9" t="s">
        <v>51</v>
      </c>
      <c r="H72" s="7" t="s">
        <v>112</v>
      </c>
      <c r="I72" s="7" t="s">
        <v>92</v>
      </c>
      <c r="J72" s="9" t="s">
        <v>397</v>
      </c>
      <c r="K72" s="9" t="s">
        <v>94</v>
      </c>
      <c r="L72" s="9" t="s">
        <v>398</v>
      </c>
      <c r="M72" s="10">
        <v>4</v>
      </c>
      <c r="N72" s="10">
        <v>3</v>
      </c>
      <c r="O72" s="7">
        <f t="shared" si="10"/>
        <v>12</v>
      </c>
      <c r="P72" s="7" t="str">
        <f>INDEX('Scales &amp; Matrix'!$B$13:$F$17,6-N72,M72)</f>
        <v>High</v>
      </c>
      <c r="Q72" s="9" t="s">
        <v>399</v>
      </c>
      <c r="R72" s="10">
        <v>4</v>
      </c>
      <c r="S72" s="10">
        <v>2</v>
      </c>
      <c r="T72" s="7">
        <f t="shared" si="11"/>
        <v>8</v>
      </c>
      <c r="U72" s="7" t="str">
        <f>INDEX('Scales &amp; Matrix'!$B$13:$F$17,6-S72,R72)</f>
        <v>Moderate</v>
      </c>
      <c r="V72" s="11">
        <f t="shared" si="12"/>
        <v>4</v>
      </c>
      <c r="W72" s="12">
        <f t="shared" si="13"/>
        <v>0.33333333333333331</v>
      </c>
      <c r="X72" s="9" t="s">
        <v>97</v>
      </c>
      <c r="Y72" s="7" t="s">
        <v>46</v>
      </c>
      <c r="Z72" s="7" t="s">
        <v>316</v>
      </c>
      <c r="AA72" s="9" t="str">
        <f t="shared" si="14"/>
        <v/>
      </c>
      <c r="AB72" s="13">
        <f t="shared" si="15"/>
        <v>8129928</v>
      </c>
      <c r="AC72" s="13">
        <f t="shared" si="16"/>
        <v>8129928</v>
      </c>
      <c r="AD72" s="13">
        <f t="shared" si="17"/>
        <v>0</v>
      </c>
    </row>
    <row r="73" spans="1:30" ht="51" x14ac:dyDescent="0.25">
      <c r="A73" s="7">
        <f t="shared" si="9"/>
        <v>48</v>
      </c>
      <c r="B73" s="7" t="s">
        <v>400</v>
      </c>
      <c r="C73" s="7" t="s">
        <v>122</v>
      </c>
      <c r="D73" s="8" t="str">
        <f>INDEX('Summary by Assessment'!$C$5:$C$101,MATCH(C73,'Summary by Assessment'!$B$5:$B$101,0))</f>
        <v>Perth</v>
      </c>
      <c r="E73" s="9" t="s">
        <v>123</v>
      </c>
      <c r="F73" s="9" t="s">
        <v>50</v>
      </c>
      <c r="G73" s="9" t="s">
        <v>51</v>
      </c>
      <c r="H73" s="7" t="s">
        <v>112</v>
      </c>
      <c r="I73" s="7" t="s">
        <v>218</v>
      </c>
      <c r="J73" s="9" t="s">
        <v>380</v>
      </c>
      <c r="K73" s="9" t="s">
        <v>94</v>
      </c>
      <c r="L73" s="9" t="s">
        <v>381</v>
      </c>
      <c r="M73" s="10">
        <v>4</v>
      </c>
      <c r="N73" s="10">
        <v>3</v>
      </c>
      <c r="O73" s="7">
        <f t="shared" si="10"/>
        <v>12</v>
      </c>
      <c r="P73" s="7" t="str">
        <f>INDEX('Scales &amp; Matrix'!$B$13:$F$17,6-N73,M73)</f>
        <v>High</v>
      </c>
      <c r="Q73" s="9" t="s">
        <v>382</v>
      </c>
      <c r="R73" s="10">
        <v>4</v>
      </c>
      <c r="S73" s="10">
        <v>2</v>
      </c>
      <c r="T73" s="7">
        <f t="shared" si="11"/>
        <v>8</v>
      </c>
      <c r="U73" s="7" t="str">
        <f>INDEX('Scales &amp; Matrix'!$B$13:$F$17,6-S73,R73)</f>
        <v>Moderate</v>
      </c>
      <c r="V73" s="11">
        <f t="shared" si="12"/>
        <v>4</v>
      </c>
      <c r="W73" s="12">
        <f t="shared" si="13"/>
        <v>0.33333333333333331</v>
      </c>
      <c r="X73" s="9" t="s">
        <v>97</v>
      </c>
      <c r="Y73" s="7" t="s">
        <v>46</v>
      </c>
      <c r="Z73" s="7" t="s">
        <v>316</v>
      </c>
      <c r="AA73" s="9" t="str">
        <f t="shared" si="14"/>
        <v/>
      </c>
      <c r="AB73" s="13">
        <f t="shared" si="15"/>
        <v>8129927</v>
      </c>
      <c r="AC73" s="13">
        <f t="shared" si="16"/>
        <v>8129927</v>
      </c>
      <c r="AD73" s="13">
        <f t="shared" si="17"/>
        <v>0</v>
      </c>
    </row>
    <row r="74" spans="1:30" ht="102" x14ac:dyDescent="0.25">
      <c r="A74" s="7">
        <f t="shared" si="9"/>
        <v>48</v>
      </c>
      <c r="B74" s="7" t="s">
        <v>401</v>
      </c>
      <c r="C74" s="7" t="s">
        <v>402</v>
      </c>
      <c r="D74" s="8" t="str">
        <f>INDEX('Summary by Assessment'!$C$5:$C$101,MATCH(C74,'Summary by Assessment'!$B$5:$B$101,0))</f>
        <v>Perth</v>
      </c>
      <c r="E74" s="9" t="s">
        <v>403</v>
      </c>
      <c r="F74" s="9" t="s">
        <v>155</v>
      </c>
      <c r="G74" s="9" t="s">
        <v>51</v>
      </c>
      <c r="H74" s="7" t="s">
        <v>404</v>
      </c>
      <c r="I74" s="7" t="s">
        <v>53</v>
      </c>
      <c r="J74" s="9" t="s">
        <v>405</v>
      </c>
      <c r="K74" s="9" t="s">
        <v>406</v>
      </c>
      <c r="L74" s="9" t="s">
        <v>407</v>
      </c>
      <c r="M74" s="10">
        <v>4</v>
      </c>
      <c r="N74" s="10">
        <v>3</v>
      </c>
      <c r="O74" s="7">
        <f t="shared" si="10"/>
        <v>12</v>
      </c>
      <c r="P74" s="7" t="str">
        <f>INDEX('Scales &amp; Matrix'!$B$13:$F$17,6-N74,M74)</f>
        <v>High</v>
      </c>
      <c r="Q74" s="9" t="s">
        <v>408</v>
      </c>
      <c r="R74" s="10">
        <v>4</v>
      </c>
      <c r="S74" s="10">
        <v>2</v>
      </c>
      <c r="T74" s="7">
        <f t="shared" si="11"/>
        <v>8</v>
      </c>
      <c r="U74" s="7" t="str">
        <f>INDEX('Scales &amp; Matrix'!$B$13:$F$17,6-S74,R74)</f>
        <v>Moderate</v>
      </c>
      <c r="V74" s="11">
        <f t="shared" si="12"/>
        <v>4</v>
      </c>
      <c r="W74" s="12">
        <f t="shared" si="13"/>
        <v>0.33333333333333331</v>
      </c>
      <c r="X74" s="9" t="s">
        <v>215</v>
      </c>
      <c r="Y74" s="7" t="s">
        <v>46</v>
      </c>
      <c r="Z74" s="7" t="s">
        <v>316</v>
      </c>
      <c r="AA74" s="9" t="str">
        <f t="shared" si="14"/>
        <v/>
      </c>
      <c r="AB74" s="13">
        <f t="shared" si="15"/>
        <v>8129926</v>
      </c>
      <c r="AC74" s="13">
        <f t="shared" si="16"/>
        <v>8129926</v>
      </c>
      <c r="AD74" s="13">
        <f t="shared" si="17"/>
        <v>0</v>
      </c>
    </row>
    <row r="75" spans="1:30" ht="51" x14ac:dyDescent="0.25">
      <c r="A75" s="7">
        <f t="shared" si="9"/>
        <v>48</v>
      </c>
      <c r="B75" s="7" t="s">
        <v>409</v>
      </c>
      <c r="C75" s="7" t="s">
        <v>410</v>
      </c>
      <c r="D75" s="8" t="str">
        <f>INDEX('Summary by Assessment'!$C$5:$C$101,MATCH(C75,'Summary by Assessment'!$B$5:$B$101,0))</f>
        <v>Perth</v>
      </c>
      <c r="E75" s="9" t="s">
        <v>411</v>
      </c>
      <c r="F75" s="9" t="s">
        <v>155</v>
      </c>
      <c r="G75" s="9" t="s">
        <v>51</v>
      </c>
      <c r="H75" s="7" t="s">
        <v>404</v>
      </c>
      <c r="I75" s="7" t="s">
        <v>53</v>
      </c>
      <c r="J75" s="9" t="s">
        <v>412</v>
      </c>
      <c r="K75" s="9" t="s">
        <v>413</v>
      </c>
      <c r="L75" s="9" t="s">
        <v>414</v>
      </c>
      <c r="M75" s="10">
        <v>4</v>
      </c>
      <c r="N75" s="10">
        <v>3</v>
      </c>
      <c r="O75" s="7">
        <f t="shared" si="10"/>
        <v>12</v>
      </c>
      <c r="P75" s="7" t="str">
        <f>INDEX('Scales &amp; Matrix'!$B$13:$F$17,6-N75,M75)</f>
        <v>High</v>
      </c>
      <c r="Q75" s="9" t="s">
        <v>415</v>
      </c>
      <c r="R75" s="10">
        <v>4</v>
      </c>
      <c r="S75" s="10">
        <v>2</v>
      </c>
      <c r="T75" s="7">
        <f t="shared" si="11"/>
        <v>8</v>
      </c>
      <c r="U75" s="7" t="str">
        <f>INDEX('Scales &amp; Matrix'!$B$13:$F$17,6-S75,R75)</f>
        <v>Moderate</v>
      </c>
      <c r="V75" s="11">
        <f t="shared" si="12"/>
        <v>4</v>
      </c>
      <c r="W75" s="12">
        <f t="shared" si="13"/>
        <v>0.33333333333333331</v>
      </c>
      <c r="X75" s="9" t="s">
        <v>215</v>
      </c>
      <c r="Y75" s="7" t="s">
        <v>46</v>
      </c>
      <c r="Z75" s="7" t="s">
        <v>316</v>
      </c>
      <c r="AA75" s="9" t="str">
        <f t="shared" si="14"/>
        <v/>
      </c>
      <c r="AB75" s="13">
        <f t="shared" si="15"/>
        <v>8129925</v>
      </c>
      <c r="AC75" s="13">
        <f t="shared" si="16"/>
        <v>8129925</v>
      </c>
      <c r="AD75" s="13">
        <f t="shared" si="17"/>
        <v>0</v>
      </c>
    </row>
    <row r="76" spans="1:30" ht="89.25" x14ac:dyDescent="0.25">
      <c r="A76" s="7">
        <f t="shared" si="9"/>
        <v>48</v>
      </c>
      <c r="B76" s="7" t="s">
        <v>416</v>
      </c>
      <c r="C76" s="7" t="s">
        <v>417</v>
      </c>
      <c r="D76" s="8" t="str">
        <f>INDEX('Summary by Assessment'!$C$5:$C$101,MATCH(C76,'Summary by Assessment'!$B$5:$B$101,0))</f>
        <v>Fremantle</v>
      </c>
      <c r="E76" s="9" t="s">
        <v>418</v>
      </c>
      <c r="F76" s="9" t="s">
        <v>50</v>
      </c>
      <c r="G76" s="9" t="s">
        <v>51</v>
      </c>
      <c r="H76" s="7" t="s">
        <v>71</v>
      </c>
      <c r="I76" s="7" t="s">
        <v>53</v>
      </c>
      <c r="J76" s="9" t="s">
        <v>419</v>
      </c>
      <c r="K76" s="9" t="s">
        <v>420</v>
      </c>
      <c r="L76" s="9" t="s">
        <v>421</v>
      </c>
      <c r="M76" s="10">
        <v>3</v>
      </c>
      <c r="N76" s="10">
        <v>4</v>
      </c>
      <c r="O76" s="7">
        <f t="shared" si="10"/>
        <v>12</v>
      </c>
      <c r="P76" s="7" t="str">
        <f>INDEX('Scales &amp; Matrix'!$B$13:$F$17,6-N76,M76)</f>
        <v>High</v>
      </c>
      <c r="Q76" s="9" t="s">
        <v>422</v>
      </c>
      <c r="R76" s="10">
        <v>2</v>
      </c>
      <c r="S76" s="10">
        <v>4</v>
      </c>
      <c r="T76" s="7">
        <f t="shared" si="11"/>
        <v>8</v>
      </c>
      <c r="U76" s="7" t="str">
        <f>INDEX('Scales &amp; Matrix'!$B$13:$F$17,6-S76,R76)</f>
        <v>Moderate</v>
      </c>
      <c r="V76" s="11">
        <f t="shared" si="12"/>
        <v>4</v>
      </c>
      <c r="W76" s="12">
        <f t="shared" si="13"/>
        <v>0.33333333333333331</v>
      </c>
      <c r="X76" s="9" t="s">
        <v>67</v>
      </c>
      <c r="Y76" s="7" t="s">
        <v>46</v>
      </c>
      <c r="Z76" s="7" t="s">
        <v>316</v>
      </c>
      <c r="AA76" s="9" t="str">
        <f t="shared" si="14"/>
        <v/>
      </c>
      <c r="AB76" s="13">
        <f t="shared" si="15"/>
        <v>8129924</v>
      </c>
      <c r="AC76" s="13">
        <f t="shared" si="16"/>
        <v>0</v>
      </c>
      <c r="AD76" s="13">
        <f t="shared" si="17"/>
        <v>8129924</v>
      </c>
    </row>
    <row r="77" spans="1:30" ht="89.25" x14ac:dyDescent="0.25">
      <c r="A77" s="7">
        <f t="shared" si="9"/>
        <v>48</v>
      </c>
      <c r="B77" s="7" t="s">
        <v>423</v>
      </c>
      <c r="C77" s="7" t="s">
        <v>424</v>
      </c>
      <c r="D77" s="8" t="str">
        <f>INDEX('Summary by Assessment'!$C$5:$C$101,MATCH(C77,'Summary by Assessment'!$B$5:$B$101,0))</f>
        <v>Perth</v>
      </c>
      <c r="E77" s="9" t="s">
        <v>418</v>
      </c>
      <c r="F77" s="9" t="s">
        <v>50</v>
      </c>
      <c r="G77" s="9" t="s">
        <v>51</v>
      </c>
      <c r="H77" s="7" t="s">
        <v>52</v>
      </c>
      <c r="I77" s="7" t="s">
        <v>53</v>
      </c>
      <c r="J77" s="9" t="s">
        <v>419</v>
      </c>
      <c r="K77" s="9" t="s">
        <v>420</v>
      </c>
      <c r="L77" s="9" t="s">
        <v>421</v>
      </c>
      <c r="M77" s="10">
        <v>3</v>
      </c>
      <c r="N77" s="10">
        <v>4</v>
      </c>
      <c r="O77" s="7">
        <f t="shared" si="10"/>
        <v>12</v>
      </c>
      <c r="P77" s="7" t="str">
        <f>INDEX('Scales &amp; Matrix'!$B$13:$F$17,6-N77,M77)</f>
        <v>High</v>
      </c>
      <c r="Q77" s="9" t="s">
        <v>422</v>
      </c>
      <c r="R77" s="10">
        <v>2</v>
      </c>
      <c r="S77" s="10">
        <v>4</v>
      </c>
      <c r="T77" s="7">
        <f t="shared" si="11"/>
        <v>8</v>
      </c>
      <c r="U77" s="7" t="str">
        <f>INDEX('Scales &amp; Matrix'!$B$13:$F$17,6-S77,R77)</f>
        <v>Moderate</v>
      </c>
      <c r="V77" s="11">
        <f t="shared" si="12"/>
        <v>4</v>
      </c>
      <c r="W77" s="12">
        <f t="shared" si="13"/>
        <v>0.33333333333333331</v>
      </c>
      <c r="X77" s="9" t="s">
        <v>67</v>
      </c>
      <c r="Y77" s="7" t="s">
        <v>46</v>
      </c>
      <c r="Z77" s="7" t="s">
        <v>316</v>
      </c>
      <c r="AA77" s="9" t="str">
        <f t="shared" si="14"/>
        <v/>
      </c>
      <c r="AB77" s="13">
        <f t="shared" si="15"/>
        <v>8129923</v>
      </c>
      <c r="AC77" s="13">
        <f t="shared" si="16"/>
        <v>8129923</v>
      </c>
      <c r="AD77" s="13">
        <f t="shared" si="17"/>
        <v>0</v>
      </c>
    </row>
    <row r="78" spans="1:30" ht="38.25" x14ac:dyDescent="0.25">
      <c r="A78" s="7">
        <f t="shared" si="9"/>
        <v>48</v>
      </c>
      <c r="B78" s="7" t="s">
        <v>425</v>
      </c>
      <c r="C78" s="7" t="s">
        <v>426</v>
      </c>
      <c r="D78" s="8" t="str">
        <f>INDEX('Summary by Assessment'!$C$5:$C$101,MATCH(C78,'Summary by Assessment'!$B$5:$B$101,0))</f>
        <v>Perth</v>
      </c>
      <c r="E78" s="9" t="s">
        <v>427</v>
      </c>
      <c r="F78" s="9" t="s">
        <v>155</v>
      </c>
      <c r="G78" s="9" t="s">
        <v>180</v>
      </c>
      <c r="H78" s="7" t="s">
        <v>428</v>
      </c>
      <c r="I78" s="7" t="s">
        <v>53</v>
      </c>
      <c r="J78" s="9" t="s">
        <v>429</v>
      </c>
      <c r="K78" s="9" t="s">
        <v>307</v>
      </c>
      <c r="L78" s="9" t="s">
        <v>430</v>
      </c>
      <c r="M78" s="10">
        <v>3</v>
      </c>
      <c r="N78" s="10">
        <v>4</v>
      </c>
      <c r="O78" s="7">
        <f t="shared" si="10"/>
        <v>12</v>
      </c>
      <c r="P78" s="7" t="str">
        <f>INDEX('Scales &amp; Matrix'!$B$13:$F$17,6-N78,M78)</f>
        <v>High</v>
      </c>
      <c r="Q78" s="9" t="s">
        <v>431</v>
      </c>
      <c r="R78" s="10">
        <v>2</v>
      </c>
      <c r="S78" s="10">
        <v>4</v>
      </c>
      <c r="T78" s="7">
        <f t="shared" si="11"/>
        <v>8</v>
      </c>
      <c r="U78" s="7" t="str">
        <f>INDEX('Scales &amp; Matrix'!$B$13:$F$17,6-S78,R78)</f>
        <v>Moderate</v>
      </c>
      <c r="V78" s="11">
        <f t="shared" si="12"/>
        <v>4</v>
      </c>
      <c r="W78" s="12">
        <f t="shared" si="13"/>
        <v>0.33333333333333331</v>
      </c>
      <c r="X78" s="9" t="s">
        <v>432</v>
      </c>
      <c r="Y78" s="7" t="s">
        <v>46</v>
      </c>
      <c r="Z78" s="7" t="s">
        <v>316</v>
      </c>
      <c r="AA78" s="9" t="str">
        <f t="shared" si="14"/>
        <v/>
      </c>
      <c r="AB78" s="13">
        <f t="shared" si="15"/>
        <v>8129922</v>
      </c>
      <c r="AC78" s="13">
        <f t="shared" si="16"/>
        <v>8129922</v>
      </c>
      <c r="AD78" s="13">
        <f t="shared" si="17"/>
        <v>0</v>
      </c>
    </row>
    <row r="79" spans="1:30" ht="38.25" x14ac:dyDescent="0.25">
      <c r="A79" s="7">
        <f t="shared" si="9"/>
        <v>48</v>
      </c>
      <c r="B79" s="7" t="s">
        <v>433</v>
      </c>
      <c r="C79" s="7" t="s">
        <v>434</v>
      </c>
      <c r="D79" s="8" t="str">
        <f>INDEX('Summary by Assessment'!$C$5:$C$101,MATCH(C79,'Summary by Assessment'!$B$5:$B$101,0))</f>
        <v>Perth</v>
      </c>
      <c r="E79" s="9" t="s">
        <v>435</v>
      </c>
      <c r="F79" s="9" t="s">
        <v>155</v>
      </c>
      <c r="G79" s="9" t="s">
        <v>180</v>
      </c>
      <c r="H79" s="7" t="s">
        <v>91</v>
      </c>
      <c r="I79" s="7" t="s">
        <v>53</v>
      </c>
      <c r="J79" s="9" t="s">
        <v>436</v>
      </c>
      <c r="K79" s="9" t="s">
        <v>307</v>
      </c>
      <c r="L79" s="9" t="s">
        <v>430</v>
      </c>
      <c r="M79" s="10">
        <v>3</v>
      </c>
      <c r="N79" s="10">
        <v>4</v>
      </c>
      <c r="O79" s="7">
        <f t="shared" si="10"/>
        <v>12</v>
      </c>
      <c r="P79" s="7" t="str">
        <f>INDEX('Scales &amp; Matrix'!$B$13:$F$17,6-N79,M79)</f>
        <v>High</v>
      </c>
      <c r="Q79" s="9" t="s">
        <v>431</v>
      </c>
      <c r="R79" s="10">
        <v>2</v>
      </c>
      <c r="S79" s="10">
        <v>4</v>
      </c>
      <c r="T79" s="7">
        <f t="shared" si="11"/>
        <v>8</v>
      </c>
      <c r="U79" s="7" t="str">
        <f>INDEX('Scales &amp; Matrix'!$B$13:$F$17,6-S79,R79)</f>
        <v>Moderate</v>
      </c>
      <c r="V79" s="11">
        <f t="shared" si="12"/>
        <v>4</v>
      </c>
      <c r="W79" s="12">
        <f t="shared" si="13"/>
        <v>0.33333333333333331</v>
      </c>
      <c r="X79" s="9" t="s">
        <v>432</v>
      </c>
      <c r="Y79" s="7" t="s">
        <v>46</v>
      </c>
      <c r="Z79" s="7" t="s">
        <v>316</v>
      </c>
      <c r="AA79" s="9" t="str">
        <f t="shared" si="14"/>
        <v/>
      </c>
      <c r="AB79" s="13">
        <f t="shared" si="15"/>
        <v>8129921</v>
      </c>
      <c r="AC79" s="13">
        <f t="shared" si="16"/>
        <v>8129921</v>
      </c>
      <c r="AD79" s="13">
        <f t="shared" si="17"/>
        <v>0</v>
      </c>
    </row>
    <row r="80" spans="1:30" ht="178.5" x14ac:dyDescent="0.25">
      <c r="A80" s="7">
        <f t="shared" si="9"/>
        <v>48</v>
      </c>
      <c r="B80" s="7" t="s">
        <v>437</v>
      </c>
      <c r="C80" s="7" t="s">
        <v>355</v>
      </c>
      <c r="D80" s="8" t="str">
        <f>INDEX('Summary by Assessment'!$C$5:$C$101,MATCH(C80,'Summary by Assessment'!$B$5:$B$101,0))</f>
        <v>Fremantle</v>
      </c>
      <c r="E80" s="9" t="s">
        <v>356</v>
      </c>
      <c r="F80" s="9" t="s">
        <v>232</v>
      </c>
      <c r="G80" s="9" t="s">
        <v>51</v>
      </c>
      <c r="H80" s="7" t="s">
        <v>357</v>
      </c>
      <c r="I80" s="7" t="s">
        <v>39</v>
      </c>
      <c r="J80" s="9" t="s">
        <v>438</v>
      </c>
      <c r="K80" s="9" t="s">
        <v>439</v>
      </c>
      <c r="L80" s="9" t="s">
        <v>440</v>
      </c>
      <c r="M80" s="10">
        <v>5</v>
      </c>
      <c r="N80" s="10">
        <v>2</v>
      </c>
      <c r="O80" s="7">
        <f t="shared" si="10"/>
        <v>10</v>
      </c>
      <c r="P80" s="7" t="str">
        <f>INDEX('Scales &amp; Matrix'!$B$13:$F$17,6-N80,M80)</f>
        <v>High</v>
      </c>
      <c r="Q80" s="9" t="s">
        <v>441</v>
      </c>
      <c r="R80" s="10">
        <v>4</v>
      </c>
      <c r="S80" s="10">
        <v>2</v>
      </c>
      <c r="T80" s="7">
        <f t="shared" si="11"/>
        <v>8</v>
      </c>
      <c r="U80" s="7" t="str">
        <f>INDEX('Scales &amp; Matrix'!$B$13:$F$17,6-S80,R80)</f>
        <v>Moderate</v>
      </c>
      <c r="V80" s="11">
        <f t="shared" si="12"/>
        <v>2</v>
      </c>
      <c r="W80" s="12">
        <f t="shared" si="13"/>
        <v>0.2</v>
      </c>
      <c r="X80" s="9" t="s">
        <v>67</v>
      </c>
      <c r="Y80" s="7" t="s">
        <v>87</v>
      </c>
      <c r="Z80" s="7" t="s">
        <v>316</v>
      </c>
      <c r="AA80" s="9" t="str">
        <f t="shared" si="14"/>
        <v/>
      </c>
      <c r="AB80" s="13">
        <f t="shared" si="15"/>
        <v>8109920</v>
      </c>
      <c r="AC80" s="13">
        <f t="shared" si="16"/>
        <v>0</v>
      </c>
      <c r="AD80" s="13">
        <f t="shared" si="17"/>
        <v>8109920</v>
      </c>
    </row>
    <row r="81" spans="1:30" ht="63.75" x14ac:dyDescent="0.25">
      <c r="A81" s="7">
        <f t="shared" si="9"/>
        <v>48</v>
      </c>
      <c r="B81" s="7" t="s">
        <v>442</v>
      </c>
      <c r="C81" s="7" t="s">
        <v>443</v>
      </c>
      <c r="D81" s="8" t="str">
        <f>INDEX('Summary by Assessment'!$C$5:$C$101,MATCH(C81,'Summary by Assessment'!$B$5:$B$101,0))</f>
        <v>Fremantle</v>
      </c>
      <c r="E81" s="9" t="s">
        <v>444</v>
      </c>
      <c r="F81" s="9" t="s">
        <v>445</v>
      </c>
      <c r="G81" s="9" t="s">
        <v>51</v>
      </c>
      <c r="H81" s="7" t="s">
        <v>71</v>
      </c>
      <c r="I81" s="7" t="s">
        <v>53</v>
      </c>
      <c r="J81" s="9" t="s">
        <v>446</v>
      </c>
      <c r="K81" s="9" t="s">
        <v>447</v>
      </c>
      <c r="L81" s="9" t="s">
        <v>448</v>
      </c>
      <c r="M81" s="10">
        <v>3</v>
      </c>
      <c r="N81" s="10">
        <v>3</v>
      </c>
      <c r="O81" s="7">
        <f t="shared" si="10"/>
        <v>9</v>
      </c>
      <c r="P81" s="7" t="str">
        <f>INDEX('Scales &amp; Matrix'!$B$13:$F$17,6-N81,M81)</f>
        <v>Moderate</v>
      </c>
      <c r="Q81" s="9" t="s">
        <v>449</v>
      </c>
      <c r="R81" s="10">
        <v>4</v>
      </c>
      <c r="S81" s="10">
        <v>2</v>
      </c>
      <c r="T81" s="7">
        <f t="shared" si="11"/>
        <v>8</v>
      </c>
      <c r="U81" s="7" t="str">
        <f>INDEX('Scales &amp; Matrix'!$B$13:$F$17,6-S81,R81)</f>
        <v>Moderate</v>
      </c>
      <c r="V81" s="11">
        <f t="shared" si="12"/>
        <v>1</v>
      </c>
      <c r="W81" s="12">
        <f t="shared" si="13"/>
        <v>0.1111111111111111</v>
      </c>
      <c r="X81" s="9" t="s">
        <v>67</v>
      </c>
      <c r="Y81" s="7" t="s">
        <v>76</v>
      </c>
      <c r="Z81" s="7" t="s">
        <v>316</v>
      </c>
      <c r="AA81" s="9" t="str">
        <f t="shared" si="14"/>
        <v/>
      </c>
      <c r="AB81" s="13">
        <f t="shared" si="15"/>
        <v>8099919</v>
      </c>
      <c r="AC81" s="13">
        <f t="shared" si="16"/>
        <v>0</v>
      </c>
      <c r="AD81" s="13">
        <f t="shared" si="17"/>
        <v>8099919</v>
      </c>
    </row>
    <row r="82" spans="1:30" ht="63.75" x14ac:dyDescent="0.25">
      <c r="A82" s="7">
        <f t="shared" si="9"/>
        <v>48</v>
      </c>
      <c r="B82" s="7" t="s">
        <v>450</v>
      </c>
      <c r="C82" s="7" t="s">
        <v>451</v>
      </c>
      <c r="D82" s="8" t="str">
        <f>INDEX('Summary by Assessment'!$C$5:$C$101,MATCH(C82,'Summary by Assessment'!$B$5:$B$101,0))</f>
        <v>Perth</v>
      </c>
      <c r="E82" s="9" t="s">
        <v>444</v>
      </c>
      <c r="F82" s="9" t="s">
        <v>445</v>
      </c>
      <c r="G82" s="9" t="s">
        <v>51</v>
      </c>
      <c r="H82" s="7" t="s">
        <v>52</v>
      </c>
      <c r="I82" s="7" t="s">
        <v>53</v>
      </c>
      <c r="J82" s="9" t="s">
        <v>446</v>
      </c>
      <c r="K82" s="9" t="s">
        <v>447</v>
      </c>
      <c r="L82" s="9" t="s">
        <v>448</v>
      </c>
      <c r="M82" s="10">
        <v>3</v>
      </c>
      <c r="N82" s="10">
        <v>3</v>
      </c>
      <c r="O82" s="7">
        <f t="shared" si="10"/>
        <v>9</v>
      </c>
      <c r="P82" s="7" t="str">
        <f>INDEX('Scales &amp; Matrix'!$B$13:$F$17,6-N82,M82)</f>
        <v>Moderate</v>
      </c>
      <c r="Q82" s="9" t="s">
        <v>449</v>
      </c>
      <c r="R82" s="10">
        <v>4</v>
      </c>
      <c r="S82" s="10">
        <v>2</v>
      </c>
      <c r="T82" s="7">
        <f t="shared" si="11"/>
        <v>8</v>
      </c>
      <c r="U82" s="7" t="str">
        <f>INDEX('Scales &amp; Matrix'!$B$13:$F$17,6-S82,R82)</f>
        <v>Moderate</v>
      </c>
      <c r="V82" s="11">
        <f t="shared" si="12"/>
        <v>1</v>
      </c>
      <c r="W82" s="12">
        <f t="shared" si="13"/>
        <v>0.1111111111111111</v>
      </c>
      <c r="X82" s="9" t="s">
        <v>67</v>
      </c>
      <c r="Y82" s="7" t="s">
        <v>76</v>
      </c>
      <c r="Z82" s="7" t="s">
        <v>316</v>
      </c>
      <c r="AA82" s="9" t="str">
        <f t="shared" si="14"/>
        <v/>
      </c>
      <c r="AB82" s="13">
        <f t="shared" si="15"/>
        <v>8099918</v>
      </c>
      <c r="AC82" s="13">
        <f t="shared" si="16"/>
        <v>8099918</v>
      </c>
      <c r="AD82" s="13">
        <f t="shared" si="17"/>
        <v>0</v>
      </c>
    </row>
    <row r="83" spans="1:30" ht="51" x14ac:dyDescent="0.25">
      <c r="A83" s="7">
        <f t="shared" si="9"/>
        <v>48</v>
      </c>
      <c r="B83" s="7" t="s">
        <v>452</v>
      </c>
      <c r="C83" s="7" t="s">
        <v>99</v>
      </c>
      <c r="D83" s="8" t="str">
        <f>INDEX('Summary by Assessment'!$C$5:$C$101,MATCH(C83,'Summary by Assessment'!$B$5:$B$101,0))</f>
        <v>Fremantle</v>
      </c>
      <c r="E83" s="9" t="s">
        <v>100</v>
      </c>
      <c r="F83" s="9" t="s">
        <v>50</v>
      </c>
      <c r="G83" s="9" t="s">
        <v>51</v>
      </c>
      <c r="H83" s="7" t="s">
        <v>101</v>
      </c>
      <c r="I83" s="7" t="s">
        <v>92</v>
      </c>
      <c r="J83" s="9" t="s">
        <v>397</v>
      </c>
      <c r="K83" s="9" t="s">
        <v>453</v>
      </c>
      <c r="L83" s="9" t="s">
        <v>398</v>
      </c>
      <c r="M83" s="10">
        <v>4</v>
      </c>
      <c r="N83" s="10">
        <v>2</v>
      </c>
      <c r="O83" s="7">
        <f t="shared" si="10"/>
        <v>8</v>
      </c>
      <c r="P83" s="7" t="str">
        <f>INDEX('Scales &amp; Matrix'!$B$13:$F$17,6-N83,M83)</f>
        <v>Moderate</v>
      </c>
      <c r="Q83" s="9" t="s">
        <v>399</v>
      </c>
      <c r="R83" s="10">
        <v>4</v>
      </c>
      <c r="S83" s="10">
        <v>2</v>
      </c>
      <c r="T83" s="7">
        <f t="shared" si="11"/>
        <v>8</v>
      </c>
      <c r="U83" s="7" t="str">
        <f>INDEX('Scales &amp; Matrix'!$B$13:$F$17,6-S83,R83)</f>
        <v>Moderate</v>
      </c>
      <c r="V83" s="11">
        <f t="shared" si="12"/>
        <v>0</v>
      </c>
      <c r="W83" s="12">
        <f t="shared" si="13"/>
        <v>0</v>
      </c>
      <c r="X83" s="9" t="s">
        <v>67</v>
      </c>
      <c r="Y83" s="7" t="s">
        <v>316</v>
      </c>
      <c r="Z83" s="7" t="s">
        <v>316</v>
      </c>
      <c r="AA83" s="9" t="str">
        <f t="shared" si="14"/>
        <v/>
      </c>
      <c r="AB83" s="13">
        <f t="shared" si="15"/>
        <v>8089917</v>
      </c>
      <c r="AC83" s="13">
        <f t="shared" si="16"/>
        <v>0</v>
      </c>
      <c r="AD83" s="13">
        <f t="shared" si="17"/>
        <v>8089917</v>
      </c>
    </row>
    <row r="84" spans="1:30" ht="38.25" x14ac:dyDescent="0.25">
      <c r="A84" s="7">
        <f t="shared" si="9"/>
        <v>48</v>
      </c>
      <c r="B84" s="7" t="s">
        <v>454</v>
      </c>
      <c r="C84" s="7" t="s">
        <v>34</v>
      </c>
      <c r="D84" s="8" t="str">
        <f>INDEX('Summary by Assessment'!$C$5:$C$101,MATCH(C84,'Summary by Assessment'!$B$5:$B$101,0))</f>
        <v>Perth</v>
      </c>
      <c r="E84" s="9" t="s">
        <v>35</v>
      </c>
      <c r="F84" s="9" t="s">
        <v>36</v>
      </c>
      <c r="G84" s="9" t="s">
        <v>37</v>
      </c>
      <c r="H84" s="7" t="s">
        <v>38</v>
      </c>
      <c r="I84" s="7" t="s">
        <v>53</v>
      </c>
      <c r="J84" s="9" t="s">
        <v>455</v>
      </c>
      <c r="K84" s="9" t="s">
        <v>41</v>
      </c>
      <c r="L84" s="9" t="s">
        <v>456</v>
      </c>
      <c r="M84" s="10">
        <v>4</v>
      </c>
      <c r="N84" s="10">
        <v>2</v>
      </c>
      <c r="O84" s="7">
        <f t="shared" si="10"/>
        <v>8</v>
      </c>
      <c r="P84" s="7" t="str">
        <f>INDEX('Scales &amp; Matrix'!$B$13:$F$17,6-N84,M84)</f>
        <v>Moderate</v>
      </c>
      <c r="Q84" s="9" t="s">
        <v>457</v>
      </c>
      <c r="R84" s="10">
        <v>4</v>
      </c>
      <c r="S84" s="10">
        <v>2</v>
      </c>
      <c r="T84" s="7">
        <f t="shared" si="11"/>
        <v>8</v>
      </c>
      <c r="U84" s="7" t="str">
        <f>INDEX('Scales &amp; Matrix'!$B$13:$F$17,6-S84,R84)</f>
        <v>Moderate</v>
      </c>
      <c r="V84" s="11">
        <f t="shared" si="12"/>
        <v>0</v>
      </c>
      <c r="W84" s="12">
        <f t="shared" si="13"/>
        <v>0</v>
      </c>
      <c r="X84" s="9" t="s">
        <v>44</v>
      </c>
      <c r="Y84" s="7" t="s">
        <v>316</v>
      </c>
      <c r="Z84" s="7" t="s">
        <v>316</v>
      </c>
      <c r="AA84" s="9" t="str">
        <f t="shared" si="14"/>
        <v/>
      </c>
      <c r="AB84" s="13">
        <f t="shared" si="15"/>
        <v>8089916</v>
      </c>
      <c r="AC84" s="13">
        <f t="shared" si="16"/>
        <v>8089916</v>
      </c>
      <c r="AD84" s="13">
        <f t="shared" si="17"/>
        <v>0</v>
      </c>
    </row>
    <row r="85" spans="1:30" ht="51" x14ac:dyDescent="0.25">
      <c r="A85" s="7">
        <f t="shared" si="9"/>
        <v>48</v>
      </c>
      <c r="B85" s="7" t="s">
        <v>458</v>
      </c>
      <c r="C85" s="7" t="s">
        <v>281</v>
      </c>
      <c r="D85" s="8" t="str">
        <f>INDEX('Summary by Assessment'!$C$5:$C$101,MATCH(C85,'Summary by Assessment'!$B$5:$B$101,0))</f>
        <v>Fremantle</v>
      </c>
      <c r="E85" s="9" t="s">
        <v>282</v>
      </c>
      <c r="F85" s="9" t="s">
        <v>50</v>
      </c>
      <c r="G85" s="9" t="s">
        <v>51</v>
      </c>
      <c r="H85" s="7" t="s">
        <v>71</v>
      </c>
      <c r="I85" s="7" t="s">
        <v>62</v>
      </c>
      <c r="J85" s="9" t="s">
        <v>459</v>
      </c>
      <c r="K85" s="9" t="s">
        <v>460</v>
      </c>
      <c r="L85" s="9" t="s">
        <v>461</v>
      </c>
      <c r="M85" s="10">
        <v>2</v>
      </c>
      <c r="N85" s="10">
        <v>4</v>
      </c>
      <c r="O85" s="7">
        <f t="shared" si="10"/>
        <v>8</v>
      </c>
      <c r="P85" s="7" t="str">
        <f>INDEX('Scales &amp; Matrix'!$B$13:$F$17,6-N85,M85)</f>
        <v>Moderate</v>
      </c>
      <c r="Q85" s="9" t="s">
        <v>462</v>
      </c>
      <c r="R85" s="10">
        <v>2</v>
      </c>
      <c r="S85" s="10">
        <v>4</v>
      </c>
      <c r="T85" s="7">
        <f t="shared" si="11"/>
        <v>8</v>
      </c>
      <c r="U85" s="7" t="str">
        <f>INDEX('Scales &amp; Matrix'!$B$13:$F$17,6-S85,R85)</f>
        <v>Moderate</v>
      </c>
      <c r="V85" s="11">
        <f t="shared" si="12"/>
        <v>0</v>
      </c>
      <c r="W85" s="12">
        <f t="shared" si="13"/>
        <v>0</v>
      </c>
      <c r="X85" s="9" t="s">
        <v>176</v>
      </c>
      <c r="Y85" s="7" t="s">
        <v>316</v>
      </c>
      <c r="Z85" s="7" t="s">
        <v>316</v>
      </c>
      <c r="AA85" s="9" t="str">
        <f t="shared" si="14"/>
        <v/>
      </c>
      <c r="AB85" s="13">
        <f t="shared" si="15"/>
        <v>8089915</v>
      </c>
      <c r="AC85" s="13">
        <f t="shared" si="16"/>
        <v>0</v>
      </c>
      <c r="AD85" s="13">
        <f t="shared" si="17"/>
        <v>8089915</v>
      </c>
    </row>
    <row r="86" spans="1:30" ht="51" x14ac:dyDescent="0.25">
      <c r="A86" s="7">
        <f t="shared" si="9"/>
        <v>48</v>
      </c>
      <c r="B86" s="7" t="s">
        <v>463</v>
      </c>
      <c r="C86" s="7" t="s">
        <v>194</v>
      </c>
      <c r="D86" s="8" t="str">
        <f>INDEX('Summary by Assessment'!$C$5:$C$101,MATCH(C86,'Summary by Assessment'!$B$5:$B$101,0))</f>
        <v>Fremantle</v>
      </c>
      <c r="E86" s="9" t="s">
        <v>61</v>
      </c>
      <c r="F86" s="9" t="s">
        <v>36</v>
      </c>
      <c r="G86" s="9" t="s">
        <v>51</v>
      </c>
      <c r="H86" s="7" t="s">
        <v>71</v>
      </c>
      <c r="I86" s="7" t="s">
        <v>92</v>
      </c>
      <c r="J86" s="9" t="s">
        <v>464</v>
      </c>
      <c r="K86" s="9" t="s">
        <v>196</v>
      </c>
      <c r="L86" s="9" t="s">
        <v>465</v>
      </c>
      <c r="M86" s="10">
        <v>3</v>
      </c>
      <c r="N86" s="10">
        <v>2</v>
      </c>
      <c r="O86" s="7">
        <f t="shared" si="10"/>
        <v>6</v>
      </c>
      <c r="P86" s="7" t="str">
        <f>INDEX('Scales &amp; Matrix'!$B$13:$F$17,6-N86,M86)</f>
        <v>Moderate</v>
      </c>
      <c r="Q86" s="9" t="s">
        <v>466</v>
      </c>
      <c r="R86" s="10">
        <v>4</v>
      </c>
      <c r="S86" s="10">
        <v>2</v>
      </c>
      <c r="T86" s="7">
        <f t="shared" si="11"/>
        <v>8</v>
      </c>
      <c r="U86" s="7" t="str">
        <f>INDEX('Scales &amp; Matrix'!$B$13:$F$17,6-S86,R86)</f>
        <v>Moderate</v>
      </c>
      <c r="V86" s="11">
        <f t="shared" si="12"/>
        <v>-2</v>
      </c>
      <c r="W86" s="12">
        <f t="shared" si="13"/>
        <v>-0.33333333333333331</v>
      </c>
      <c r="X86" s="9" t="s">
        <v>67</v>
      </c>
      <c r="Y86" s="7" t="s">
        <v>311</v>
      </c>
      <c r="Z86" s="7" t="s">
        <v>316</v>
      </c>
      <c r="AA86" s="9" t="str">
        <f t="shared" si="14"/>
        <v>Residual higher than inherent - check.</v>
      </c>
      <c r="AB86" s="13">
        <f t="shared" si="15"/>
        <v>8069914</v>
      </c>
      <c r="AC86" s="13">
        <f t="shared" si="16"/>
        <v>0</v>
      </c>
      <c r="AD86" s="13">
        <f t="shared" si="17"/>
        <v>8069914</v>
      </c>
    </row>
    <row r="87" spans="1:30" ht="51" x14ac:dyDescent="0.25">
      <c r="A87" s="7">
        <f t="shared" si="9"/>
        <v>48</v>
      </c>
      <c r="B87" s="7" t="s">
        <v>467</v>
      </c>
      <c r="C87" s="7" t="s">
        <v>60</v>
      </c>
      <c r="D87" s="8" t="str">
        <f>INDEX('Summary by Assessment'!$C$5:$C$101,MATCH(C87,'Summary by Assessment'!$B$5:$B$101,0))</f>
        <v>Perth</v>
      </c>
      <c r="E87" s="9" t="s">
        <v>61</v>
      </c>
      <c r="F87" s="9" t="s">
        <v>36</v>
      </c>
      <c r="G87" s="9" t="s">
        <v>51</v>
      </c>
      <c r="H87" s="7" t="s">
        <v>52</v>
      </c>
      <c r="I87" s="7" t="s">
        <v>92</v>
      </c>
      <c r="J87" s="9" t="s">
        <v>464</v>
      </c>
      <c r="K87" s="9" t="s">
        <v>196</v>
      </c>
      <c r="L87" s="9" t="s">
        <v>465</v>
      </c>
      <c r="M87" s="10">
        <v>3</v>
      </c>
      <c r="N87" s="10">
        <v>2</v>
      </c>
      <c r="O87" s="7">
        <f t="shared" si="10"/>
        <v>6</v>
      </c>
      <c r="P87" s="7" t="str">
        <f>INDEX('Scales &amp; Matrix'!$B$13:$F$17,6-N87,M87)</f>
        <v>Moderate</v>
      </c>
      <c r="Q87" s="9" t="s">
        <v>466</v>
      </c>
      <c r="R87" s="10">
        <v>4</v>
      </c>
      <c r="S87" s="10">
        <v>2</v>
      </c>
      <c r="T87" s="7">
        <f t="shared" si="11"/>
        <v>8</v>
      </c>
      <c r="U87" s="7" t="str">
        <f>INDEX('Scales &amp; Matrix'!$B$13:$F$17,6-S87,R87)</f>
        <v>Moderate</v>
      </c>
      <c r="V87" s="11">
        <f t="shared" si="12"/>
        <v>-2</v>
      </c>
      <c r="W87" s="12">
        <f t="shared" si="13"/>
        <v>-0.33333333333333331</v>
      </c>
      <c r="X87" s="9" t="s">
        <v>67</v>
      </c>
      <c r="Y87" s="7" t="s">
        <v>311</v>
      </c>
      <c r="Z87" s="7" t="s">
        <v>316</v>
      </c>
      <c r="AA87" s="9" t="str">
        <f t="shared" si="14"/>
        <v>Residual higher than inherent - check.</v>
      </c>
      <c r="AB87" s="13">
        <f t="shared" si="15"/>
        <v>8069913</v>
      </c>
      <c r="AC87" s="13">
        <f t="shared" si="16"/>
        <v>8069913</v>
      </c>
      <c r="AD87" s="13">
        <f t="shared" si="17"/>
        <v>0</v>
      </c>
    </row>
    <row r="88" spans="1:30" ht="63.75" x14ac:dyDescent="0.25">
      <c r="A88" s="7">
        <f t="shared" si="9"/>
        <v>84</v>
      </c>
      <c r="B88" s="7" t="s">
        <v>468</v>
      </c>
      <c r="C88" s="7" t="s">
        <v>160</v>
      </c>
      <c r="D88" s="8" t="str">
        <f>INDEX('Summary by Assessment'!$C$5:$C$101,MATCH(C88,'Summary by Assessment'!$B$5:$B$101,0))</f>
        <v>Fremantle</v>
      </c>
      <c r="E88" s="9" t="s">
        <v>161</v>
      </c>
      <c r="F88" s="9" t="s">
        <v>36</v>
      </c>
      <c r="G88" s="9" t="s">
        <v>51</v>
      </c>
      <c r="H88" s="7" t="s">
        <v>91</v>
      </c>
      <c r="I88" s="7" t="s">
        <v>92</v>
      </c>
      <c r="J88" s="9" t="s">
        <v>469</v>
      </c>
      <c r="K88" s="9" t="s">
        <v>470</v>
      </c>
      <c r="L88" s="9" t="s">
        <v>471</v>
      </c>
      <c r="M88" s="10">
        <v>5</v>
      </c>
      <c r="N88" s="10">
        <v>3</v>
      </c>
      <c r="O88" s="7">
        <f t="shared" si="10"/>
        <v>15</v>
      </c>
      <c r="P88" s="7" t="str">
        <f>INDEX('Scales &amp; Matrix'!$B$13:$F$17,6-N88,M88)</f>
        <v>High</v>
      </c>
      <c r="Q88" s="9" t="s">
        <v>472</v>
      </c>
      <c r="R88" s="10">
        <v>3</v>
      </c>
      <c r="S88" s="10">
        <v>2</v>
      </c>
      <c r="T88" s="7">
        <f t="shared" si="11"/>
        <v>6</v>
      </c>
      <c r="U88" s="7" t="str">
        <f>INDEX('Scales &amp; Matrix'!$B$13:$F$17,6-S88,R88)</f>
        <v>Moderate</v>
      </c>
      <c r="V88" s="11">
        <f t="shared" si="12"/>
        <v>9</v>
      </c>
      <c r="W88" s="12">
        <f t="shared" si="13"/>
        <v>0.6</v>
      </c>
      <c r="X88" s="9" t="s">
        <v>221</v>
      </c>
      <c r="Y88" s="7" t="s">
        <v>45</v>
      </c>
      <c r="Z88" s="7" t="s">
        <v>311</v>
      </c>
      <c r="AA88" s="9" t="str">
        <f t="shared" si="14"/>
        <v/>
      </c>
      <c r="AB88" s="13">
        <f t="shared" si="15"/>
        <v>6159912</v>
      </c>
      <c r="AC88" s="13">
        <f t="shared" si="16"/>
        <v>0</v>
      </c>
      <c r="AD88" s="13">
        <f t="shared" si="17"/>
        <v>6159912</v>
      </c>
    </row>
    <row r="89" spans="1:30" ht="63.75" x14ac:dyDescent="0.25">
      <c r="A89" s="7">
        <f t="shared" si="9"/>
        <v>84</v>
      </c>
      <c r="B89" s="7" t="s">
        <v>473</v>
      </c>
      <c r="C89" s="7" t="s">
        <v>474</v>
      </c>
      <c r="D89" s="8" t="str">
        <f>INDEX('Summary by Assessment'!$C$5:$C$101,MATCH(C89,'Summary by Assessment'!$B$5:$B$101,0))</f>
        <v>Fremantle</v>
      </c>
      <c r="E89" s="9" t="s">
        <v>475</v>
      </c>
      <c r="F89" s="9" t="s">
        <v>36</v>
      </c>
      <c r="G89" s="9" t="s">
        <v>51</v>
      </c>
      <c r="H89" s="7" t="s">
        <v>91</v>
      </c>
      <c r="I89" s="7" t="s">
        <v>53</v>
      </c>
      <c r="J89" s="9" t="s">
        <v>476</v>
      </c>
      <c r="K89" s="9" t="s">
        <v>477</v>
      </c>
      <c r="L89" s="9" t="s">
        <v>478</v>
      </c>
      <c r="M89" s="10">
        <v>5</v>
      </c>
      <c r="N89" s="10">
        <v>3</v>
      </c>
      <c r="O89" s="7">
        <f t="shared" si="10"/>
        <v>15</v>
      </c>
      <c r="P89" s="7" t="str">
        <f>INDEX('Scales &amp; Matrix'!$B$13:$F$17,6-N89,M89)</f>
        <v>High</v>
      </c>
      <c r="Q89" s="9" t="s">
        <v>479</v>
      </c>
      <c r="R89" s="10">
        <v>3</v>
      </c>
      <c r="S89" s="10">
        <v>2</v>
      </c>
      <c r="T89" s="7">
        <f t="shared" si="11"/>
        <v>6</v>
      </c>
      <c r="U89" s="7" t="str">
        <f>INDEX('Scales &amp; Matrix'!$B$13:$F$17,6-S89,R89)</f>
        <v>Moderate</v>
      </c>
      <c r="V89" s="11">
        <f t="shared" si="12"/>
        <v>9</v>
      </c>
      <c r="W89" s="12">
        <f t="shared" si="13"/>
        <v>0.6</v>
      </c>
      <c r="X89" s="9" t="s">
        <v>166</v>
      </c>
      <c r="Y89" s="7" t="s">
        <v>45</v>
      </c>
      <c r="Z89" s="7" t="s">
        <v>311</v>
      </c>
      <c r="AA89" s="9" t="str">
        <f t="shared" si="14"/>
        <v/>
      </c>
      <c r="AB89" s="13">
        <f t="shared" si="15"/>
        <v>6159911</v>
      </c>
      <c r="AC89" s="13">
        <f t="shared" si="16"/>
        <v>0</v>
      </c>
      <c r="AD89" s="13">
        <f t="shared" si="17"/>
        <v>6159911</v>
      </c>
    </row>
    <row r="90" spans="1:30" ht="63.75" x14ac:dyDescent="0.25">
      <c r="A90" s="7">
        <f t="shared" si="9"/>
        <v>84</v>
      </c>
      <c r="B90" s="7" t="s">
        <v>480</v>
      </c>
      <c r="C90" s="7" t="s">
        <v>481</v>
      </c>
      <c r="D90" s="8" t="str">
        <f>INDEX('Summary by Assessment'!$C$5:$C$101,MATCH(C90,'Summary by Assessment'!$B$5:$B$101,0))</f>
        <v>Perth</v>
      </c>
      <c r="E90" s="9" t="s">
        <v>475</v>
      </c>
      <c r="F90" s="9" t="s">
        <v>36</v>
      </c>
      <c r="G90" s="9" t="s">
        <v>51</v>
      </c>
      <c r="H90" s="7" t="s">
        <v>52</v>
      </c>
      <c r="I90" s="7" t="s">
        <v>53</v>
      </c>
      <c r="J90" s="9" t="s">
        <v>476</v>
      </c>
      <c r="K90" s="9" t="s">
        <v>477</v>
      </c>
      <c r="L90" s="9" t="s">
        <v>478</v>
      </c>
      <c r="M90" s="10">
        <v>5</v>
      </c>
      <c r="N90" s="10">
        <v>3</v>
      </c>
      <c r="O90" s="7">
        <f t="shared" si="10"/>
        <v>15</v>
      </c>
      <c r="P90" s="7" t="str">
        <f>INDEX('Scales &amp; Matrix'!$B$13:$F$17,6-N90,M90)</f>
        <v>High</v>
      </c>
      <c r="Q90" s="9" t="s">
        <v>479</v>
      </c>
      <c r="R90" s="10">
        <v>3</v>
      </c>
      <c r="S90" s="10">
        <v>2</v>
      </c>
      <c r="T90" s="7">
        <f t="shared" si="11"/>
        <v>6</v>
      </c>
      <c r="U90" s="7" t="str">
        <f>INDEX('Scales &amp; Matrix'!$B$13:$F$17,6-S90,R90)</f>
        <v>Moderate</v>
      </c>
      <c r="V90" s="11">
        <f t="shared" si="12"/>
        <v>9</v>
      </c>
      <c r="W90" s="12">
        <f t="shared" si="13"/>
        <v>0.6</v>
      </c>
      <c r="X90" s="9" t="s">
        <v>166</v>
      </c>
      <c r="Y90" s="7" t="s">
        <v>45</v>
      </c>
      <c r="Z90" s="7" t="s">
        <v>311</v>
      </c>
      <c r="AA90" s="9" t="str">
        <f t="shared" si="14"/>
        <v/>
      </c>
      <c r="AB90" s="13">
        <f t="shared" si="15"/>
        <v>6159910</v>
      </c>
      <c r="AC90" s="13">
        <f t="shared" si="16"/>
        <v>6159910</v>
      </c>
      <c r="AD90" s="13">
        <f t="shared" si="17"/>
        <v>0</v>
      </c>
    </row>
    <row r="91" spans="1:30" ht="63.75" x14ac:dyDescent="0.25">
      <c r="A91" s="7">
        <f t="shared" si="9"/>
        <v>84</v>
      </c>
      <c r="B91" s="7" t="s">
        <v>482</v>
      </c>
      <c r="C91" s="7" t="s">
        <v>483</v>
      </c>
      <c r="D91" s="8" t="str">
        <f>INDEX('Summary by Assessment'!$C$5:$C$101,MATCH(C91,'Summary by Assessment'!$B$5:$B$101,0))</f>
        <v>Fremantle</v>
      </c>
      <c r="E91" s="9" t="s">
        <v>484</v>
      </c>
      <c r="F91" s="9" t="s">
        <v>36</v>
      </c>
      <c r="G91" s="9" t="s">
        <v>51</v>
      </c>
      <c r="H91" s="7" t="s">
        <v>91</v>
      </c>
      <c r="I91" s="7" t="s">
        <v>39</v>
      </c>
      <c r="J91" s="9" t="s">
        <v>485</v>
      </c>
      <c r="K91" s="9" t="s">
        <v>486</v>
      </c>
      <c r="L91" s="9" t="s">
        <v>487</v>
      </c>
      <c r="M91" s="10">
        <v>4</v>
      </c>
      <c r="N91" s="10">
        <v>3</v>
      </c>
      <c r="O91" s="7">
        <f t="shared" si="10"/>
        <v>12</v>
      </c>
      <c r="P91" s="7" t="str">
        <f>INDEX('Scales &amp; Matrix'!$B$13:$F$17,6-N91,M91)</f>
        <v>High</v>
      </c>
      <c r="Q91" s="9" t="s">
        <v>488</v>
      </c>
      <c r="R91" s="10">
        <v>3</v>
      </c>
      <c r="S91" s="10">
        <v>2</v>
      </c>
      <c r="T91" s="7">
        <f t="shared" si="11"/>
        <v>6</v>
      </c>
      <c r="U91" s="7" t="str">
        <f>INDEX('Scales &amp; Matrix'!$B$13:$F$17,6-S91,R91)</f>
        <v>Moderate</v>
      </c>
      <c r="V91" s="11">
        <f t="shared" si="12"/>
        <v>6</v>
      </c>
      <c r="W91" s="12">
        <f t="shared" si="13"/>
        <v>0.5</v>
      </c>
      <c r="X91" s="9" t="s">
        <v>67</v>
      </c>
      <c r="Y91" s="7" t="s">
        <v>46</v>
      </c>
      <c r="Z91" s="7" t="s">
        <v>311</v>
      </c>
      <c r="AA91" s="9" t="str">
        <f t="shared" si="14"/>
        <v/>
      </c>
      <c r="AB91" s="13">
        <f t="shared" si="15"/>
        <v>6129909</v>
      </c>
      <c r="AC91" s="13">
        <f t="shared" si="16"/>
        <v>0</v>
      </c>
      <c r="AD91" s="13">
        <f t="shared" si="17"/>
        <v>6129909</v>
      </c>
    </row>
    <row r="92" spans="1:30" ht="63.75" x14ac:dyDescent="0.25">
      <c r="A92" s="7">
        <f t="shared" si="9"/>
        <v>84</v>
      </c>
      <c r="B92" s="7" t="s">
        <v>489</v>
      </c>
      <c r="C92" s="7" t="s">
        <v>443</v>
      </c>
      <c r="D92" s="8" t="str">
        <f>INDEX('Summary by Assessment'!$C$5:$C$101,MATCH(C92,'Summary by Assessment'!$B$5:$B$101,0))</f>
        <v>Fremantle</v>
      </c>
      <c r="E92" s="9" t="s">
        <v>444</v>
      </c>
      <c r="F92" s="9" t="s">
        <v>445</v>
      </c>
      <c r="G92" s="9" t="s">
        <v>51</v>
      </c>
      <c r="H92" s="7" t="s">
        <v>71</v>
      </c>
      <c r="I92" s="7" t="s">
        <v>92</v>
      </c>
      <c r="J92" s="9" t="s">
        <v>490</v>
      </c>
      <c r="K92" s="9" t="s">
        <v>447</v>
      </c>
      <c r="L92" s="9" t="s">
        <v>491</v>
      </c>
      <c r="M92" s="10">
        <v>4</v>
      </c>
      <c r="N92" s="10">
        <v>3</v>
      </c>
      <c r="O92" s="7">
        <f t="shared" si="10"/>
        <v>12</v>
      </c>
      <c r="P92" s="7" t="str">
        <f>INDEX('Scales &amp; Matrix'!$B$13:$F$17,6-N92,M92)</f>
        <v>High</v>
      </c>
      <c r="Q92" s="9" t="s">
        <v>492</v>
      </c>
      <c r="R92" s="10">
        <v>3</v>
      </c>
      <c r="S92" s="10">
        <v>2</v>
      </c>
      <c r="T92" s="7">
        <f t="shared" si="11"/>
        <v>6</v>
      </c>
      <c r="U92" s="7" t="str">
        <f>INDEX('Scales &amp; Matrix'!$B$13:$F$17,6-S92,R92)</f>
        <v>Moderate</v>
      </c>
      <c r="V92" s="11">
        <f t="shared" si="12"/>
        <v>6</v>
      </c>
      <c r="W92" s="12">
        <f t="shared" si="13"/>
        <v>0.5</v>
      </c>
      <c r="X92" s="9" t="s">
        <v>67</v>
      </c>
      <c r="Y92" s="7" t="s">
        <v>46</v>
      </c>
      <c r="Z92" s="7" t="s">
        <v>311</v>
      </c>
      <c r="AA92" s="9" t="str">
        <f t="shared" si="14"/>
        <v/>
      </c>
      <c r="AB92" s="13">
        <f t="shared" si="15"/>
        <v>6129908</v>
      </c>
      <c r="AC92" s="13">
        <f t="shared" si="16"/>
        <v>0</v>
      </c>
      <c r="AD92" s="13">
        <f t="shared" si="17"/>
        <v>6129908</v>
      </c>
    </row>
    <row r="93" spans="1:30" ht="51" x14ac:dyDescent="0.25">
      <c r="A93" s="7">
        <f t="shared" si="9"/>
        <v>84</v>
      </c>
      <c r="B93" s="7" t="s">
        <v>493</v>
      </c>
      <c r="C93" s="7" t="s">
        <v>201</v>
      </c>
      <c r="D93" s="8" t="str">
        <f>INDEX('Summary by Assessment'!$C$5:$C$101,MATCH(C93,'Summary by Assessment'!$B$5:$B$101,0))</f>
        <v>Fremantle</v>
      </c>
      <c r="E93" s="9" t="s">
        <v>202</v>
      </c>
      <c r="F93" s="9" t="s">
        <v>50</v>
      </c>
      <c r="G93" s="9" t="s">
        <v>51</v>
      </c>
      <c r="H93" s="7" t="s">
        <v>71</v>
      </c>
      <c r="I93" s="7" t="s">
        <v>53</v>
      </c>
      <c r="J93" s="9" t="s">
        <v>494</v>
      </c>
      <c r="K93" s="9" t="s">
        <v>298</v>
      </c>
      <c r="L93" s="9" t="s">
        <v>495</v>
      </c>
      <c r="M93" s="10">
        <v>3</v>
      </c>
      <c r="N93" s="10">
        <v>4</v>
      </c>
      <c r="O93" s="7">
        <f t="shared" si="10"/>
        <v>12</v>
      </c>
      <c r="P93" s="7" t="str">
        <f>INDEX('Scales &amp; Matrix'!$B$13:$F$17,6-N93,M93)</f>
        <v>High</v>
      </c>
      <c r="Q93" s="9" t="s">
        <v>496</v>
      </c>
      <c r="R93" s="10">
        <v>3</v>
      </c>
      <c r="S93" s="10">
        <v>2</v>
      </c>
      <c r="T93" s="7">
        <f t="shared" si="11"/>
        <v>6</v>
      </c>
      <c r="U93" s="7" t="str">
        <f>INDEX('Scales &amp; Matrix'!$B$13:$F$17,6-S93,R93)</f>
        <v>Moderate</v>
      </c>
      <c r="V93" s="11">
        <f t="shared" si="12"/>
        <v>6</v>
      </c>
      <c r="W93" s="12">
        <f t="shared" si="13"/>
        <v>0.5</v>
      </c>
      <c r="X93" s="9" t="s">
        <v>166</v>
      </c>
      <c r="Y93" s="7" t="s">
        <v>46</v>
      </c>
      <c r="Z93" s="7" t="s">
        <v>311</v>
      </c>
      <c r="AA93" s="9" t="str">
        <f t="shared" si="14"/>
        <v/>
      </c>
      <c r="AB93" s="13">
        <f t="shared" si="15"/>
        <v>6129907</v>
      </c>
      <c r="AC93" s="13">
        <f t="shared" si="16"/>
        <v>0</v>
      </c>
      <c r="AD93" s="13">
        <f t="shared" si="17"/>
        <v>6129907</v>
      </c>
    </row>
    <row r="94" spans="1:30" ht="51" x14ac:dyDescent="0.25">
      <c r="A94" s="7">
        <f t="shared" si="9"/>
        <v>84</v>
      </c>
      <c r="B94" s="7" t="s">
        <v>497</v>
      </c>
      <c r="C94" s="7" t="s">
        <v>498</v>
      </c>
      <c r="D94" s="8" t="str">
        <f>INDEX('Summary by Assessment'!$C$5:$C$101,MATCH(C94,'Summary by Assessment'!$B$5:$B$101,0))</f>
        <v>Fremantle</v>
      </c>
      <c r="E94" s="9" t="s">
        <v>499</v>
      </c>
      <c r="F94" s="9" t="s">
        <v>170</v>
      </c>
      <c r="G94" s="9" t="s">
        <v>51</v>
      </c>
      <c r="H94" s="7" t="s">
        <v>71</v>
      </c>
      <c r="I94" s="7" t="s">
        <v>92</v>
      </c>
      <c r="J94" s="9" t="s">
        <v>500</v>
      </c>
      <c r="K94" s="9" t="s">
        <v>64</v>
      </c>
      <c r="L94" s="9" t="s">
        <v>501</v>
      </c>
      <c r="M94" s="10">
        <v>4</v>
      </c>
      <c r="N94" s="10">
        <v>3</v>
      </c>
      <c r="O94" s="7">
        <f t="shared" si="10"/>
        <v>12</v>
      </c>
      <c r="P94" s="7" t="str">
        <f>INDEX('Scales &amp; Matrix'!$B$13:$F$17,6-N94,M94)</f>
        <v>High</v>
      </c>
      <c r="Q94" s="9" t="s">
        <v>502</v>
      </c>
      <c r="R94" s="10">
        <v>3</v>
      </c>
      <c r="S94" s="10">
        <v>2</v>
      </c>
      <c r="T94" s="7">
        <f t="shared" si="11"/>
        <v>6</v>
      </c>
      <c r="U94" s="7" t="str">
        <f>INDEX('Scales &amp; Matrix'!$B$13:$F$17,6-S94,R94)</f>
        <v>Moderate</v>
      </c>
      <c r="V94" s="11">
        <f t="shared" si="12"/>
        <v>6</v>
      </c>
      <c r="W94" s="12">
        <f t="shared" si="13"/>
        <v>0.5</v>
      </c>
      <c r="X94" s="9" t="s">
        <v>67</v>
      </c>
      <c r="Y94" s="7" t="s">
        <v>46</v>
      </c>
      <c r="Z94" s="7" t="s">
        <v>311</v>
      </c>
      <c r="AA94" s="9" t="str">
        <f t="shared" si="14"/>
        <v/>
      </c>
      <c r="AB94" s="13">
        <f t="shared" si="15"/>
        <v>6129906</v>
      </c>
      <c r="AC94" s="13">
        <f t="shared" si="16"/>
        <v>0</v>
      </c>
      <c r="AD94" s="13">
        <f t="shared" si="17"/>
        <v>6129906</v>
      </c>
    </row>
    <row r="95" spans="1:30" ht="63.75" x14ac:dyDescent="0.25">
      <c r="A95" s="7">
        <f t="shared" si="9"/>
        <v>84</v>
      </c>
      <c r="B95" s="7" t="s">
        <v>503</v>
      </c>
      <c r="C95" s="7" t="s">
        <v>504</v>
      </c>
      <c r="D95" s="8" t="str">
        <f>INDEX('Summary by Assessment'!$C$5:$C$101,MATCH(C95,'Summary by Assessment'!$B$5:$B$101,0))</f>
        <v>Fremantle</v>
      </c>
      <c r="E95" s="9" t="s">
        <v>505</v>
      </c>
      <c r="F95" s="9" t="s">
        <v>155</v>
      </c>
      <c r="G95" s="9" t="s">
        <v>51</v>
      </c>
      <c r="H95" s="7" t="s">
        <v>506</v>
      </c>
      <c r="I95" s="7" t="s">
        <v>62</v>
      </c>
      <c r="J95" s="9" t="s">
        <v>507</v>
      </c>
      <c r="K95" s="9" t="s">
        <v>508</v>
      </c>
      <c r="L95" s="9" t="s">
        <v>509</v>
      </c>
      <c r="M95" s="10">
        <v>3</v>
      </c>
      <c r="N95" s="10">
        <v>4</v>
      </c>
      <c r="O95" s="7">
        <f t="shared" si="10"/>
        <v>12</v>
      </c>
      <c r="P95" s="7" t="str">
        <f>INDEX('Scales &amp; Matrix'!$B$13:$F$17,6-N95,M95)</f>
        <v>High</v>
      </c>
      <c r="Q95" s="9" t="s">
        <v>507</v>
      </c>
      <c r="R95" s="10">
        <v>3</v>
      </c>
      <c r="S95" s="10">
        <v>2</v>
      </c>
      <c r="T95" s="7">
        <f t="shared" si="11"/>
        <v>6</v>
      </c>
      <c r="U95" s="7" t="str">
        <f>INDEX('Scales &amp; Matrix'!$B$13:$F$17,6-S95,R95)</f>
        <v>Moderate</v>
      </c>
      <c r="V95" s="11">
        <f t="shared" si="12"/>
        <v>6</v>
      </c>
      <c r="W95" s="12">
        <f t="shared" si="13"/>
        <v>0.5</v>
      </c>
      <c r="X95" s="9" t="s">
        <v>176</v>
      </c>
      <c r="Y95" s="7" t="s">
        <v>46</v>
      </c>
      <c r="Z95" s="7" t="s">
        <v>311</v>
      </c>
      <c r="AA95" s="9" t="str">
        <f t="shared" si="14"/>
        <v/>
      </c>
      <c r="AB95" s="13">
        <f t="shared" si="15"/>
        <v>6129905</v>
      </c>
      <c r="AC95" s="13">
        <f t="shared" si="16"/>
        <v>0</v>
      </c>
      <c r="AD95" s="13">
        <f t="shared" si="17"/>
        <v>6129905</v>
      </c>
    </row>
    <row r="96" spans="1:30" ht="51" x14ac:dyDescent="0.25">
      <c r="A96" s="7">
        <f t="shared" si="9"/>
        <v>84</v>
      </c>
      <c r="B96" s="7" t="s">
        <v>510</v>
      </c>
      <c r="C96" s="7" t="s">
        <v>511</v>
      </c>
      <c r="D96" s="8" t="str">
        <f>INDEX('Summary by Assessment'!$C$5:$C$101,MATCH(C96,'Summary by Assessment'!$B$5:$B$101,0))</f>
        <v>Perth</v>
      </c>
      <c r="E96" s="9" t="s">
        <v>512</v>
      </c>
      <c r="F96" s="9" t="s">
        <v>232</v>
      </c>
      <c r="G96" s="9" t="s">
        <v>180</v>
      </c>
      <c r="H96" s="7" t="s">
        <v>357</v>
      </c>
      <c r="I96" s="7" t="s">
        <v>92</v>
      </c>
      <c r="J96" s="9" t="s">
        <v>513</v>
      </c>
      <c r="K96" s="9" t="s">
        <v>131</v>
      </c>
      <c r="L96" s="9" t="s">
        <v>514</v>
      </c>
      <c r="M96" s="10">
        <v>3</v>
      </c>
      <c r="N96" s="10">
        <v>4</v>
      </c>
      <c r="O96" s="7">
        <f t="shared" si="10"/>
        <v>12</v>
      </c>
      <c r="P96" s="7" t="str">
        <f>INDEX('Scales &amp; Matrix'!$B$13:$F$17,6-N96,M96)</f>
        <v>High</v>
      </c>
      <c r="Q96" s="9" t="s">
        <v>515</v>
      </c>
      <c r="R96" s="10">
        <v>3</v>
      </c>
      <c r="S96" s="10">
        <v>2</v>
      </c>
      <c r="T96" s="7">
        <f t="shared" si="11"/>
        <v>6</v>
      </c>
      <c r="U96" s="7" t="str">
        <f>INDEX('Scales &amp; Matrix'!$B$13:$F$17,6-S96,R96)</f>
        <v>Moderate</v>
      </c>
      <c r="V96" s="11">
        <f t="shared" si="12"/>
        <v>6</v>
      </c>
      <c r="W96" s="12">
        <f t="shared" si="13"/>
        <v>0.5</v>
      </c>
      <c r="X96" s="9" t="s">
        <v>516</v>
      </c>
      <c r="Y96" s="7" t="s">
        <v>46</v>
      </c>
      <c r="Z96" s="7" t="s">
        <v>311</v>
      </c>
      <c r="AA96" s="9" t="str">
        <f t="shared" si="14"/>
        <v/>
      </c>
      <c r="AB96" s="13">
        <f t="shared" si="15"/>
        <v>6129904</v>
      </c>
      <c r="AC96" s="13">
        <f t="shared" si="16"/>
        <v>6129904</v>
      </c>
      <c r="AD96" s="13">
        <f t="shared" si="17"/>
        <v>0</v>
      </c>
    </row>
    <row r="97" spans="1:30" ht="63.75" x14ac:dyDescent="0.25">
      <c r="A97" s="7">
        <f t="shared" si="9"/>
        <v>84</v>
      </c>
      <c r="B97" s="7" t="s">
        <v>517</v>
      </c>
      <c r="C97" s="7" t="s">
        <v>451</v>
      </c>
      <c r="D97" s="8" t="str">
        <f>INDEX('Summary by Assessment'!$C$5:$C$101,MATCH(C97,'Summary by Assessment'!$B$5:$B$101,0))</f>
        <v>Perth</v>
      </c>
      <c r="E97" s="9" t="s">
        <v>444</v>
      </c>
      <c r="F97" s="9" t="s">
        <v>445</v>
      </c>
      <c r="G97" s="9" t="s">
        <v>51</v>
      </c>
      <c r="H97" s="7" t="s">
        <v>52</v>
      </c>
      <c r="I97" s="7" t="s">
        <v>92</v>
      </c>
      <c r="J97" s="9" t="s">
        <v>490</v>
      </c>
      <c r="K97" s="9" t="s">
        <v>447</v>
      </c>
      <c r="L97" s="9" t="s">
        <v>491</v>
      </c>
      <c r="M97" s="10">
        <v>4</v>
      </c>
      <c r="N97" s="10">
        <v>3</v>
      </c>
      <c r="O97" s="7">
        <f t="shared" si="10"/>
        <v>12</v>
      </c>
      <c r="P97" s="7" t="str">
        <f>INDEX('Scales &amp; Matrix'!$B$13:$F$17,6-N97,M97)</f>
        <v>High</v>
      </c>
      <c r="Q97" s="9" t="s">
        <v>492</v>
      </c>
      <c r="R97" s="10">
        <v>3</v>
      </c>
      <c r="S97" s="10">
        <v>2</v>
      </c>
      <c r="T97" s="7">
        <f t="shared" si="11"/>
        <v>6</v>
      </c>
      <c r="U97" s="7" t="str">
        <f>INDEX('Scales &amp; Matrix'!$B$13:$F$17,6-S97,R97)</f>
        <v>Moderate</v>
      </c>
      <c r="V97" s="11">
        <f t="shared" si="12"/>
        <v>6</v>
      </c>
      <c r="W97" s="12">
        <f t="shared" si="13"/>
        <v>0.5</v>
      </c>
      <c r="X97" s="9" t="s">
        <v>67</v>
      </c>
      <c r="Y97" s="7" t="s">
        <v>46</v>
      </c>
      <c r="Z97" s="7" t="s">
        <v>311</v>
      </c>
      <c r="AA97" s="9" t="str">
        <f t="shared" si="14"/>
        <v/>
      </c>
      <c r="AB97" s="13">
        <f t="shared" si="15"/>
        <v>6129903</v>
      </c>
      <c r="AC97" s="13">
        <f t="shared" si="16"/>
        <v>6129903</v>
      </c>
      <c r="AD97" s="13">
        <f t="shared" si="17"/>
        <v>0</v>
      </c>
    </row>
    <row r="98" spans="1:30" ht="63.75" x14ac:dyDescent="0.25">
      <c r="A98" s="7">
        <f t="shared" si="9"/>
        <v>84</v>
      </c>
      <c r="B98" s="7" t="s">
        <v>518</v>
      </c>
      <c r="C98" s="7" t="s">
        <v>230</v>
      </c>
      <c r="D98" s="8" t="str">
        <f>INDEX('Summary by Assessment'!$C$5:$C$101,MATCH(C98,'Summary by Assessment'!$B$5:$B$101,0))</f>
        <v>Perth</v>
      </c>
      <c r="E98" s="9" t="s">
        <v>231</v>
      </c>
      <c r="F98" s="9" t="s">
        <v>232</v>
      </c>
      <c r="G98" s="9" t="s">
        <v>51</v>
      </c>
      <c r="H98" s="7" t="s">
        <v>233</v>
      </c>
      <c r="I98" s="7" t="s">
        <v>92</v>
      </c>
      <c r="J98" s="9" t="s">
        <v>519</v>
      </c>
      <c r="K98" s="9" t="s">
        <v>225</v>
      </c>
      <c r="L98" s="9" t="s">
        <v>520</v>
      </c>
      <c r="M98" s="10">
        <v>4</v>
      </c>
      <c r="N98" s="10">
        <v>3</v>
      </c>
      <c r="O98" s="7">
        <f t="shared" si="10"/>
        <v>12</v>
      </c>
      <c r="P98" s="7" t="str">
        <f>INDEX('Scales &amp; Matrix'!$B$13:$F$17,6-N98,M98)</f>
        <v>High</v>
      </c>
      <c r="Q98" s="9" t="s">
        <v>521</v>
      </c>
      <c r="R98" s="10">
        <v>3</v>
      </c>
      <c r="S98" s="10">
        <v>2</v>
      </c>
      <c r="T98" s="7">
        <f t="shared" si="11"/>
        <v>6</v>
      </c>
      <c r="U98" s="7" t="str">
        <f>INDEX('Scales &amp; Matrix'!$B$13:$F$17,6-S98,R98)</f>
        <v>Moderate</v>
      </c>
      <c r="V98" s="11">
        <f t="shared" si="12"/>
        <v>6</v>
      </c>
      <c r="W98" s="12">
        <f t="shared" si="13"/>
        <v>0.5</v>
      </c>
      <c r="X98" s="9" t="s">
        <v>97</v>
      </c>
      <c r="Y98" s="7" t="s">
        <v>46</v>
      </c>
      <c r="Z98" s="7" t="s">
        <v>311</v>
      </c>
      <c r="AA98" s="9" t="str">
        <f t="shared" si="14"/>
        <v/>
      </c>
      <c r="AB98" s="13">
        <f t="shared" si="15"/>
        <v>6129902</v>
      </c>
      <c r="AC98" s="13">
        <f t="shared" si="16"/>
        <v>6129902</v>
      </c>
      <c r="AD98" s="13">
        <f t="shared" si="17"/>
        <v>0</v>
      </c>
    </row>
    <row r="99" spans="1:30" ht="51" x14ac:dyDescent="0.25">
      <c r="A99" s="7">
        <f t="shared" si="9"/>
        <v>84</v>
      </c>
      <c r="B99" s="7" t="s">
        <v>522</v>
      </c>
      <c r="C99" s="7" t="s">
        <v>239</v>
      </c>
      <c r="D99" s="8" t="str">
        <f>INDEX('Summary by Assessment'!$C$5:$C$101,MATCH(C99,'Summary by Assessment'!$B$5:$B$101,0))</f>
        <v>Perth</v>
      </c>
      <c r="E99" s="9" t="s">
        <v>202</v>
      </c>
      <c r="F99" s="9" t="s">
        <v>50</v>
      </c>
      <c r="G99" s="9" t="s">
        <v>51</v>
      </c>
      <c r="H99" s="7" t="s">
        <v>52</v>
      </c>
      <c r="I99" s="7" t="s">
        <v>53</v>
      </c>
      <c r="J99" s="9" t="s">
        <v>494</v>
      </c>
      <c r="K99" s="9" t="s">
        <v>298</v>
      </c>
      <c r="L99" s="9" t="s">
        <v>495</v>
      </c>
      <c r="M99" s="10">
        <v>3</v>
      </c>
      <c r="N99" s="10">
        <v>4</v>
      </c>
      <c r="O99" s="7">
        <f t="shared" si="10"/>
        <v>12</v>
      </c>
      <c r="P99" s="7" t="str">
        <f>INDEX('Scales &amp; Matrix'!$B$13:$F$17,6-N99,M99)</f>
        <v>High</v>
      </c>
      <c r="Q99" s="9" t="s">
        <v>496</v>
      </c>
      <c r="R99" s="10">
        <v>3</v>
      </c>
      <c r="S99" s="10">
        <v>2</v>
      </c>
      <c r="T99" s="7">
        <f t="shared" si="11"/>
        <v>6</v>
      </c>
      <c r="U99" s="7" t="str">
        <f>INDEX('Scales &amp; Matrix'!$B$13:$F$17,6-S99,R99)</f>
        <v>Moderate</v>
      </c>
      <c r="V99" s="11">
        <f t="shared" si="12"/>
        <v>6</v>
      </c>
      <c r="W99" s="12">
        <f t="shared" si="13"/>
        <v>0.5</v>
      </c>
      <c r="X99" s="9" t="s">
        <v>166</v>
      </c>
      <c r="Y99" s="7" t="s">
        <v>46</v>
      </c>
      <c r="Z99" s="7" t="s">
        <v>311</v>
      </c>
      <c r="AA99" s="9" t="str">
        <f t="shared" si="14"/>
        <v/>
      </c>
      <c r="AB99" s="13">
        <f t="shared" si="15"/>
        <v>6129901</v>
      </c>
      <c r="AC99" s="13">
        <f t="shared" si="16"/>
        <v>6129901</v>
      </c>
      <c r="AD99" s="13">
        <f t="shared" si="17"/>
        <v>0</v>
      </c>
    </row>
    <row r="100" spans="1:30" ht="63.75" x14ac:dyDescent="0.25">
      <c r="A100" s="7">
        <f t="shared" si="9"/>
        <v>84</v>
      </c>
      <c r="B100" s="7" t="s">
        <v>523</v>
      </c>
      <c r="C100" s="7" t="s">
        <v>524</v>
      </c>
      <c r="D100" s="8" t="str">
        <f>INDEX('Summary by Assessment'!$C$5:$C$101,MATCH(C100,'Summary by Assessment'!$B$5:$B$101,0))</f>
        <v>Perth</v>
      </c>
      <c r="E100" s="9" t="s">
        <v>505</v>
      </c>
      <c r="F100" s="9" t="s">
        <v>155</v>
      </c>
      <c r="G100" s="9" t="s">
        <v>295</v>
      </c>
      <c r="H100" s="7" t="s">
        <v>525</v>
      </c>
      <c r="I100" s="7" t="s">
        <v>62</v>
      </c>
      <c r="J100" s="9" t="s">
        <v>507</v>
      </c>
      <c r="K100" s="9" t="s">
        <v>508</v>
      </c>
      <c r="L100" s="9" t="s">
        <v>509</v>
      </c>
      <c r="M100" s="10">
        <v>3</v>
      </c>
      <c r="N100" s="10">
        <v>4</v>
      </c>
      <c r="O100" s="7">
        <f t="shared" si="10"/>
        <v>12</v>
      </c>
      <c r="P100" s="7" t="str">
        <f>INDEX('Scales &amp; Matrix'!$B$13:$F$17,6-N100,M100)</f>
        <v>High</v>
      </c>
      <c r="Q100" s="9" t="s">
        <v>507</v>
      </c>
      <c r="R100" s="10">
        <v>3</v>
      </c>
      <c r="S100" s="10">
        <v>2</v>
      </c>
      <c r="T100" s="7">
        <f t="shared" si="11"/>
        <v>6</v>
      </c>
      <c r="U100" s="7" t="str">
        <f>INDEX('Scales &amp; Matrix'!$B$13:$F$17,6-S100,R100)</f>
        <v>Moderate</v>
      </c>
      <c r="V100" s="11">
        <f t="shared" si="12"/>
        <v>6</v>
      </c>
      <c r="W100" s="12">
        <f t="shared" si="13"/>
        <v>0.5</v>
      </c>
      <c r="X100" s="9" t="s">
        <v>176</v>
      </c>
      <c r="Y100" s="7" t="s">
        <v>46</v>
      </c>
      <c r="Z100" s="7" t="s">
        <v>311</v>
      </c>
      <c r="AA100" s="9" t="str">
        <f t="shared" si="14"/>
        <v/>
      </c>
      <c r="AB100" s="13">
        <f t="shared" si="15"/>
        <v>6129900</v>
      </c>
      <c r="AC100" s="13">
        <f t="shared" si="16"/>
        <v>6129900</v>
      </c>
      <c r="AD100" s="13">
        <f t="shared" si="17"/>
        <v>0</v>
      </c>
    </row>
    <row r="101" spans="1:30" ht="76.5" x14ac:dyDescent="0.25">
      <c r="A101" s="7">
        <f t="shared" si="9"/>
        <v>84</v>
      </c>
      <c r="B101" s="7" t="s">
        <v>526</v>
      </c>
      <c r="C101" s="7" t="s">
        <v>527</v>
      </c>
      <c r="D101" s="8" t="str">
        <f>INDEX('Summary by Assessment'!$C$5:$C$101,MATCH(C101,'Summary by Assessment'!$B$5:$B$101,0))</f>
        <v>Fremantle</v>
      </c>
      <c r="E101" s="9" t="s">
        <v>528</v>
      </c>
      <c r="F101" s="9" t="s">
        <v>36</v>
      </c>
      <c r="G101" s="9" t="s">
        <v>51</v>
      </c>
      <c r="H101" s="7" t="s">
        <v>91</v>
      </c>
      <c r="I101" s="7" t="s">
        <v>53</v>
      </c>
      <c r="J101" s="9" t="s">
        <v>529</v>
      </c>
      <c r="K101" s="9" t="s">
        <v>530</v>
      </c>
      <c r="L101" s="9" t="s">
        <v>531</v>
      </c>
      <c r="M101" s="10">
        <v>4</v>
      </c>
      <c r="N101" s="10">
        <v>3</v>
      </c>
      <c r="O101" s="7">
        <f t="shared" si="10"/>
        <v>12</v>
      </c>
      <c r="P101" s="7" t="str">
        <f>INDEX('Scales &amp; Matrix'!$B$13:$F$17,6-N101,M101)</f>
        <v>High</v>
      </c>
      <c r="Q101" s="9" t="s">
        <v>532</v>
      </c>
      <c r="R101" s="10">
        <v>2</v>
      </c>
      <c r="S101" s="10">
        <v>3</v>
      </c>
      <c r="T101" s="7">
        <f t="shared" si="11"/>
        <v>6</v>
      </c>
      <c r="U101" s="7" t="str">
        <f>INDEX('Scales &amp; Matrix'!$B$13:$F$17,6-S101,R101)</f>
        <v>Moderate</v>
      </c>
      <c r="V101" s="11">
        <f t="shared" si="12"/>
        <v>6</v>
      </c>
      <c r="W101" s="12">
        <f t="shared" si="13"/>
        <v>0.5</v>
      </c>
      <c r="X101" s="9" t="s">
        <v>533</v>
      </c>
      <c r="Y101" s="7" t="s">
        <v>46</v>
      </c>
      <c r="Z101" s="7" t="s">
        <v>311</v>
      </c>
      <c r="AA101" s="9" t="str">
        <f t="shared" si="14"/>
        <v/>
      </c>
      <c r="AB101" s="13">
        <f t="shared" si="15"/>
        <v>6129899</v>
      </c>
      <c r="AC101" s="13">
        <f t="shared" si="16"/>
        <v>0</v>
      </c>
      <c r="AD101" s="13">
        <f t="shared" si="17"/>
        <v>6129899</v>
      </c>
    </row>
    <row r="102" spans="1:30" ht="63.75" x14ac:dyDescent="0.25">
      <c r="A102" s="7">
        <f t="shared" si="9"/>
        <v>84</v>
      </c>
      <c r="B102" s="7" t="s">
        <v>534</v>
      </c>
      <c r="C102" s="7" t="s">
        <v>535</v>
      </c>
      <c r="D102" s="8" t="str">
        <f>INDEX('Summary by Assessment'!$C$5:$C$101,MATCH(C102,'Summary by Assessment'!$B$5:$B$101,0))</f>
        <v>Fremantle</v>
      </c>
      <c r="E102" s="9" t="s">
        <v>536</v>
      </c>
      <c r="F102" s="9" t="s">
        <v>155</v>
      </c>
      <c r="G102" s="9" t="s">
        <v>51</v>
      </c>
      <c r="H102" s="7" t="s">
        <v>91</v>
      </c>
      <c r="I102" s="7" t="s">
        <v>92</v>
      </c>
      <c r="J102" s="9" t="s">
        <v>537</v>
      </c>
      <c r="K102" s="9" t="s">
        <v>538</v>
      </c>
      <c r="L102" s="9" t="s">
        <v>539</v>
      </c>
      <c r="M102" s="10">
        <v>4</v>
      </c>
      <c r="N102" s="10">
        <v>3</v>
      </c>
      <c r="O102" s="7">
        <f t="shared" si="10"/>
        <v>12</v>
      </c>
      <c r="P102" s="7" t="str">
        <f>INDEX('Scales &amp; Matrix'!$B$13:$F$17,6-N102,M102)</f>
        <v>High</v>
      </c>
      <c r="Q102" s="9" t="s">
        <v>540</v>
      </c>
      <c r="R102" s="10">
        <v>2</v>
      </c>
      <c r="S102" s="10">
        <v>3</v>
      </c>
      <c r="T102" s="7">
        <f t="shared" si="11"/>
        <v>6</v>
      </c>
      <c r="U102" s="7" t="str">
        <f>INDEX('Scales &amp; Matrix'!$B$13:$F$17,6-S102,R102)</f>
        <v>Moderate</v>
      </c>
      <c r="V102" s="11">
        <f t="shared" si="12"/>
        <v>6</v>
      </c>
      <c r="W102" s="12">
        <f t="shared" si="13"/>
        <v>0.5</v>
      </c>
      <c r="X102" s="9" t="s">
        <v>67</v>
      </c>
      <c r="Y102" s="7" t="s">
        <v>46</v>
      </c>
      <c r="Z102" s="7" t="s">
        <v>311</v>
      </c>
      <c r="AA102" s="9" t="str">
        <f t="shared" si="14"/>
        <v/>
      </c>
      <c r="AB102" s="13">
        <f t="shared" si="15"/>
        <v>6129898</v>
      </c>
      <c r="AC102" s="13">
        <f t="shared" si="16"/>
        <v>0</v>
      </c>
      <c r="AD102" s="13">
        <f t="shared" si="17"/>
        <v>6129898</v>
      </c>
    </row>
    <row r="103" spans="1:30" ht="89.25" x14ac:dyDescent="0.25">
      <c r="A103" s="7">
        <f t="shared" si="9"/>
        <v>84</v>
      </c>
      <c r="B103" s="7" t="s">
        <v>541</v>
      </c>
      <c r="C103" s="7" t="s">
        <v>385</v>
      </c>
      <c r="D103" s="8" t="str">
        <f>INDEX('Summary by Assessment'!$C$5:$C$101,MATCH(C103,'Summary by Assessment'!$B$5:$B$101,0))</f>
        <v>Perth</v>
      </c>
      <c r="E103" s="9" t="s">
        <v>386</v>
      </c>
      <c r="F103" s="9" t="s">
        <v>36</v>
      </c>
      <c r="G103" s="9" t="s">
        <v>51</v>
      </c>
      <c r="H103" s="7" t="s">
        <v>52</v>
      </c>
      <c r="I103" s="7" t="s">
        <v>39</v>
      </c>
      <c r="J103" s="9" t="s">
        <v>542</v>
      </c>
      <c r="K103" s="9" t="s">
        <v>543</v>
      </c>
      <c r="L103" s="9" t="s">
        <v>544</v>
      </c>
      <c r="M103" s="10">
        <v>3</v>
      </c>
      <c r="N103" s="10">
        <v>4</v>
      </c>
      <c r="O103" s="7">
        <f t="shared" si="10"/>
        <v>12</v>
      </c>
      <c r="P103" s="7" t="str">
        <f>INDEX('Scales &amp; Matrix'!$B$13:$F$17,6-N103,M103)</f>
        <v>High</v>
      </c>
      <c r="Q103" s="9" t="s">
        <v>545</v>
      </c>
      <c r="R103" s="10">
        <v>2</v>
      </c>
      <c r="S103" s="10">
        <v>3</v>
      </c>
      <c r="T103" s="7">
        <f t="shared" si="11"/>
        <v>6</v>
      </c>
      <c r="U103" s="7" t="str">
        <f>INDEX('Scales &amp; Matrix'!$B$13:$F$17,6-S103,R103)</f>
        <v>Moderate</v>
      </c>
      <c r="V103" s="11">
        <f t="shared" si="12"/>
        <v>6</v>
      </c>
      <c r="W103" s="12">
        <f t="shared" si="13"/>
        <v>0.5</v>
      </c>
      <c r="X103" s="9" t="s">
        <v>67</v>
      </c>
      <c r="Y103" s="7" t="s">
        <v>46</v>
      </c>
      <c r="Z103" s="7" t="s">
        <v>311</v>
      </c>
      <c r="AA103" s="9" t="str">
        <f t="shared" si="14"/>
        <v/>
      </c>
      <c r="AB103" s="13">
        <f t="shared" si="15"/>
        <v>6129897</v>
      </c>
      <c r="AC103" s="13">
        <f t="shared" si="16"/>
        <v>6129897</v>
      </c>
      <c r="AD103" s="13">
        <f t="shared" si="17"/>
        <v>0</v>
      </c>
    </row>
    <row r="104" spans="1:30" ht="51" x14ac:dyDescent="0.25">
      <c r="A104" s="7">
        <f t="shared" si="9"/>
        <v>84</v>
      </c>
      <c r="B104" s="7" t="s">
        <v>546</v>
      </c>
      <c r="C104" s="7" t="s">
        <v>547</v>
      </c>
      <c r="D104" s="8" t="str">
        <f>INDEX('Summary by Assessment'!$C$5:$C$101,MATCH(C104,'Summary by Assessment'!$B$5:$B$101,0))</f>
        <v>Fremantle</v>
      </c>
      <c r="E104" s="9" t="s">
        <v>548</v>
      </c>
      <c r="F104" s="9" t="s">
        <v>232</v>
      </c>
      <c r="G104" s="9" t="s">
        <v>51</v>
      </c>
      <c r="H104" s="7" t="s">
        <v>549</v>
      </c>
      <c r="I104" s="7" t="s">
        <v>53</v>
      </c>
      <c r="J104" s="9" t="s">
        <v>550</v>
      </c>
      <c r="K104" s="9" t="s">
        <v>551</v>
      </c>
      <c r="L104" s="9" t="s">
        <v>552</v>
      </c>
      <c r="M104" s="10">
        <v>5</v>
      </c>
      <c r="N104" s="10">
        <v>2</v>
      </c>
      <c r="O104" s="7">
        <f t="shared" si="10"/>
        <v>10</v>
      </c>
      <c r="P104" s="7" t="str">
        <f>INDEX('Scales &amp; Matrix'!$B$13:$F$17,6-N104,M104)</f>
        <v>High</v>
      </c>
      <c r="Q104" s="9" t="s">
        <v>553</v>
      </c>
      <c r="R104" s="10">
        <v>3</v>
      </c>
      <c r="S104" s="10">
        <v>2</v>
      </c>
      <c r="T104" s="7">
        <f t="shared" si="11"/>
        <v>6</v>
      </c>
      <c r="U104" s="7" t="str">
        <f>INDEX('Scales &amp; Matrix'!$B$13:$F$17,6-S104,R104)</f>
        <v>Moderate</v>
      </c>
      <c r="V104" s="11">
        <f t="shared" si="12"/>
        <v>4</v>
      </c>
      <c r="W104" s="12">
        <f t="shared" si="13"/>
        <v>0.4</v>
      </c>
      <c r="X104" s="9" t="s">
        <v>97</v>
      </c>
      <c r="Y104" s="7" t="s">
        <v>87</v>
      </c>
      <c r="Z104" s="7" t="s">
        <v>311</v>
      </c>
      <c r="AA104" s="9" t="str">
        <f t="shared" si="14"/>
        <v/>
      </c>
      <c r="AB104" s="13">
        <f t="shared" si="15"/>
        <v>6109896</v>
      </c>
      <c r="AC104" s="13">
        <f t="shared" si="16"/>
        <v>0</v>
      </c>
      <c r="AD104" s="13">
        <f t="shared" si="17"/>
        <v>6109896</v>
      </c>
    </row>
    <row r="105" spans="1:30" ht="51" x14ac:dyDescent="0.25">
      <c r="A105" s="7">
        <f t="shared" si="9"/>
        <v>84</v>
      </c>
      <c r="B105" s="7" t="s">
        <v>554</v>
      </c>
      <c r="C105" s="7" t="s">
        <v>555</v>
      </c>
      <c r="D105" s="8" t="str">
        <f>INDEX('Summary by Assessment'!$C$5:$C$101,MATCH(C105,'Summary by Assessment'!$B$5:$B$101,0))</f>
        <v>Perth</v>
      </c>
      <c r="E105" s="9" t="s">
        <v>548</v>
      </c>
      <c r="F105" s="9" t="s">
        <v>232</v>
      </c>
      <c r="G105" s="9" t="s">
        <v>51</v>
      </c>
      <c r="H105" s="7" t="s">
        <v>549</v>
      </c>
      <c r="I105" s="7" t="s">
        <v>53</v>
      </c>
      <c r="J105" s="9" t="s">
        <v>550</v>
      </c>
      <c r="K105" s="9" t="s">
        <v>551</v>
      </c>
      <c r="L105" s="9" t="s">
        <v>552</v>
      </c>
      <c r="M105" s="10">
        <v>5</v>
      </c>
      <c r="N105" s="10">
        <v>2</v>
      </c>
      <c r="O105" s="7">
        <f t="shared" si="10"/>
        <v>10</v>
      </c>
      <c r="P105" s="7" t="str">
        <f>INDEX('Scales &amp; Matrix'!$B$13:$F$17,6-N105,M105)</f>
        <v>High</v>
      </c>
      <c r="Q105" s="9" t="s">
        <v>553</v>
      </c>
      <c r="R105" s="10">
        <v>3</v>
      </c>
      <c r="S105" s="10">
        <v>2</v>
      </c>
      <c r="T105" s="7">
        <f t="shared" si="11"/>
        <v>6</v>
      </c>
      <c r="U105" s="7" t="str">
        <f>INDEX('Scales &amp; Matrix'!$B$13:$F$17,6-S105,R105)</f>
        <v>Moderate</v>
      </c>
      <c r="V105" s="11">
        <f t="shared" si="12"/>
        <v>4</v>
      </c>
      <c r="W105" s="12">
        <f t="shared" si="13"/>
        <v>0.4</v>
      </c>
      <c r="X105" s="9" t="s">
        <v>97</v>
      </c>
      <c r="Y105" s="7" t="s">
        <v>87</v>
      </c>
      <c r="Z105" s="7" t="s">
        <v>311</v>
      </c>
      <c r="AA105" s="9" t="str">
        <f t="shared" si="14"/>
        <v/>
      </c>
      <c r="AB105" s="13">
        <f t="shared" si="15"/>
        <v>6109895</v>
      </c>
      <c r="AC105" s="13">
        <f t="shared" si="16"/>
        <v>6109895</v>
      </c>
      <c r="AD105" s="13">
        <f t="shared" si="17"/>
        <v>0</v>
      </c>
    </row>
    <row r="106" spans="1:30" ht="89.25" x14ac:dyDescent="0.25">
      <c r="A106" s="7">
        <f t="shared" si="9"/>
        <v>84</v>
      </c>
      <c r="B106" s="7" t="s">
        <v>556</v>
      </c>
      <c r="C106" s="7" t="s">
        <v>69</v>
      </c>
      <c r="D106" s="8" t="str">
        <f>INDEX('Summary by Assessment'!$C$5:$C$101,MATCH(C106,'Summary by Assessment'!$B$5:$B$101,0))</f>
        <v>Fremantle</v>
      </c>
      <c r="E106" s="9" t="s">
        <v>70</v>
      </c>
      <c r="F106" s="9" t="s">
        <v>50</v>
      </c>
      <c r="G106" s="9" t="s">
        <v>51</v>
      </c>
      <c r="H106" s="7" t="s">
        <v>71</v>
      </c>
      <c r="I106" s="7" t="s">
        <v>92</v>
      </c>
      <c r="J106" s="9" t="s">
        <v>557</v>
      </c>
      <c r="K106" s="9" t="s">
        <v>64</v>
      </c>
      <c r="L106" s="9" t="s">
        <v>558</v>
      </c>
      <c r="M106" s="10">
        <v>3</v>
      </c>
      <c r="N106" s="10">
        <v>3</v>
      </c>
      <c r="O106" s="7">
        <f t="shared" si="10"/>
        <v>9</v>
      </c>
      <c r="P106" s="7" t="str">
        <f>INDEX('Scales &amp; Matrix'!$B$13:$F$17,6-N106,M106)</f>
        <v>Moderate</v>
      </c>
      <c r="Q106" s="9" t="s">
        <v>559</v>
      </c>
      <c r="R106" s="10">
        <v>3</v>
      </c>
      <c r="S106" s="10">
        <v>2</v>
      </c>
      <c r="T106" s="7">
        <f t="shared" si="11"/>
        <v>6</v>
      </c>
      <c r="U106" s="7" t="str">
        <f>INDEX('Scales &amp; Matrix'!$B$13:$F$17,6-S106,R106)</f>
        <v>Moderate</v>
      </c>
      <c r="V106" s="11">
        <f t="shared" si="12"/>
        <v>3</v>
      </c>
      <c r="W106" s="12">
        <f t="shared" si="13"/>
        <v>0.33333333333333331</v>
      </c>
      <c r="X106" s="9" t="s">
        <v>67</v>
      </c>
      <c r="Y106" s="7" t="s">
        <v>76</v>
      </c>
      <c r="Z106" s="7" t="s">
        <v>311</v>
      </c>
      <c r="AA106" s="9" t="str">
        <f t="shared" si="14"/>
        <v/>
      </c>
      <c r="AB106" s="13">
        <f t="shared" si="15"/>
        <v>6099894</v>
      </c>
      <c r="AC106" s="13">
        <f t="shared" si="16"/>
        <v>0</v>
      </c>
      <c r="AD106" s="13">
        <f t="shared" si="17"/>
        <v>6099894</v>
      </c>
    </row>
    <row r="107" spans="1:30" ht="38.25" x14ac:dyDescent="0.25">
      <c r="A107" s="7">
        <f t="shared" si="9"/>
        <v>84</v>
      </c>
      <c r="B107" s="7" t="s">
        <v>560</v>
      </c>
      <c r="C107" s="7" t="s">
        <v>561</v>
      </c>
      <c r="D107" s="8" t="str">
        <f>INDEX('Summary by Assessment'!$C$5:$C$101,MATCH(C107,'Summary by Assessment'!$B$5:$B$101,0))</f>
        <v>Fremantle</v>
      </c>
      <c r="E107" s="9" t="s">
        <v>562</v>
      </c>
      <c r="F107" s="9" t="s">
        <v>155</v>
      </c>
      <c r="G107" s="9" t="s">
        <v>51</v>
      </c>
      <c r="H107" s="7" t="s">
        <v>563</v>
      </c>
      <c r="I107" s="7" t="s">
        <v>53</v>
      </c>
      <c r="J107" s="9" t="s">
        <v>564</v>
      </c>
      <c r="K107" s="9" t="s">
        <v>307</v>
      </c>
      <c r="L107" s="9" t="s">
        <v>565</v>
      </c>
      <c r="M107" s="10">
        <v>3</v>
      </c>
      <c r="N107" s="10">
        <v>3</v>
      </c>
      <c r="O107" s="7">
        <f t="shared" si="10"/>
        <v>9</v>
      </c>
      <c r="P107" s="7" t="str">
        <f>INDEX('Scales &amp; Matrix'!$B$13:$F$17,6-N107,M107)</f>
        <v>Moderate</v>
      </c>
      <c r="Q107" s="9" t="s">
        <v>566</v>
      </c>
      <c r="R107" s="10">
        <v>3</v>
      </c>
      <c r="S107" s="10">
        <v>2</v>
      </c>
      <c r="T107" s="7">
        <f t="shared" si="11"/>
        <v>6</v>
      </c>
      <c r="U107" s="7" t="str">
        <f>INDEX('Scales &amp; Matrix'!$B$13:$F$17,6-S107,R107)</f>
        <v>Moderate</v>
      </c>
      <c r="V107" s="11">
        <f t="shared" si="12"/>
        <v>3</v>
      </c>
      <c r="W107" s="12">
        <f t="shared" si="13"/>
        <v>0.33333333333333331</v>
      </c>
      <c r="X107" s="9" t="s">
        <v>567</v>
      </c>
      <c r="Y107" s="7" t="s">
        <v>76</v>
      </c>
      <c r="Z107" s="7" t="s">
        <v>311</v>
      </c>
      <c r="AA107" s="9" t="str">
        <f t="shared" si="14"/>
        <v/>
      </c>
      <c r="AB107" s="13">
        <f t="shared" si="15"/>
        <v>6099893</v>
      </c>
      <c r="AC107" s="13">
        <f t="shared" si="16"/>
        <v>0</v>
      </c>
      <c r="AD107" s="13">
        <f t="shared" si="17"/>
        <v>6099893</v>
      </c>
    </row>
    <row r="108" spans="1:30" ht="89.25" x14ac:dyDescent="0.25">
      <c r="A108" s="7">
        <f t="shared" si="9"/>
        <v>84</v>
      </c>
      <c r="B108" s="7" t="s">
        <v>568</v>
      </c>
      <c r="C108" s="7" t="s">
        <v>78</v>
      </c>
      <c r="D108" s="8" t="str">
        <f>INDEX('Summary by Assessment'!$C$5:$C$101,MATCH(C108,'Summary by Assessment'!$B$5:$B$101,0))</f>
        <v>Perth</v>
      </c>
      <c r="E108" s="9" t="s">
        <v>70</v>
      </c>
      <c r="F108" s="9" t="s">
        <v>50</v>
      </c>
      <c r="G108" s="9" t="s">
        <v>51</v>
      </c>
      <c r="H108" s="7" t="s">
        <v>52</v>
      </c>
      <c r="I108" s="7" t="s">
        <v>92</v>
      </c>
      <c r="J108" s="9" t="s">
        <v>557</v>
      </c>
      <c r="K108" s="9" t="s">
        <v>64</v>
      </c>
      <c r="L108" s="9" t="s">
        <v>558</v>
      </c>
      <c r="M108" s="10">
        <v>3</v>
      </c>
      <c r="N108" s="10">
        <v>3</v>
      </c>
      <c r="O108" s="7">
        <f t="shared" si="10"/>
        <v>9</v>
      </c>
      <c r="P108" s="7" t="str">
        <f>INDEX('Scales &amp; Matrix'!$B$13:$F$17,6-N108,M108)</f>
        <v>Moderate</v>
      </c>
      <c r="Q108" s="9" t="s">
        <v>559</v>
      </c>
      <c r="R108" s="10">
        <v>3</v>
      </c>
      <c r="S108" s="10">
        <v>2</v>
      </c>
      <c r="T108" s="7">
        <f t="shared" si="11"/>
        <v>6</v>
      </c>
      <c r="U108" s="7" t="str">
        <f>INDEX('Scales &amp; Matrix'!$B$13:$F$17,6-S108,R108)</f>
        <v>Moderate</v>
      </c>
      <c r="V108" s="11">
        <f t="shared" si="12"/>
        <v>3</v>
      </c>
      <c r="W108" s="12">
        <f t="shared" si="13"/>
        <v>0.33333333333333331</v>
      </c>
      <c r="X108" s="9" t="s">
        <v>67</v>
      </c>
      <c r="Y108" s="7" t="s">
        <v>76</v>
      </c>
      <c r="Z108" s="7" t="s">
        <v>311</v>
      </c>
      <c r="AA108" s="9" t="str">
        <f t="shared" si="14"/>
        <v/>
      </c>
      <c r="AB108" s="13">
        <f t="shared" si="15"/>
        <v>6099892</v>
      </c>
      <c r="AC108" s="13">
        <f t="shared" si="16"/>
        <v>6099892</v>
      </c>
      <c r="AD108" s="13">
        <f t="shared" si="17"/>
        <v>0</v>
      </c>
    </row>
    <row r="109" spans="1:30" ht="51" x14ac:dyDescent="0.25">
      <c r="A109" s="7">
        <f t="shared" si="9"/>
        <v>84</v>
      </c>
      <c r="B109" s="7" t="s">
        <v>569</v>
      </c>
      <c r="C109" s="7" t="s">
        <v>570</v>
      </c>
      <c r="D109" s="8" t="str">
        <f>INDEX('Summary by Assessment'!$C$5:$C$101,MATCH(C109,'Summary by Assessment'!$B$5:$B$101,0))</f>
        <v>Perth</v>
      </c>
      <c r="E109" s="9" t="s">
        <v>571</v>
      </c>
      <c r="F109" s="9" t="s">
        <v>155</v>
      </c>
      <c r="G109" s="9" t="s">
        <v>295</v>
      </c>
      <c r="H109" s="7" t="s">
        <v>572</v>
      </c>
      <c r="I109" s="7" t="s">
        <v>53</v>
      </c>
      <c r="J109" s="9" t="s">
        <v>573</v>
      </c>
      <c r="K109" s="9" t="s">
        <v>307</v>
      </c>
      <c r="L109" s="9" t="s">
        <v>574</v>
      </c>
      <c r="M109" s="10">
        <v>3</v>
      </c>
      <c r="N109" s="10">
        <v>3</v>
      </c>
      <c r="O109" s="7">
        <f t="shared" si="10"/>
        <v>9</v>
      </c>
      <c r="P109" s="7" t="str">
        <f>INDEX('Scales &amp; Matrix'!$B$13:$F$17,6-N109,M109)</f>
        <v>Moderate</v>
      </c>
      <c r="Q109" s="9" t="s">
        <v>575</v>
      </c>
      <c r="R109" s="10">
        <v>3</v>
      </c>
      <c r="S109" s="10">
        <v>2</v>
      </c>
      <c r="T109" s="7">
        <f t="shared" si="11"/>
        <v>6</v>
      </c>
      <c r="U109" s="7" t="str">
        <f>INDEX('Scales &amp; Matrix'!$B$13:$F$17,6-S109,R109)</f>
        <v>Moderate</v>
      </c>
      <c r="V109" s="11">
        <f t="shared" si="12"/>
        <v>3</v>
      </c>
      <c r="W109" s="12">
        <f t="shared" si="13"/>
        <v>0.33333333333333331</v>
      </c>
      <c r="X109" s="9" t="s">
        <v>576</v>
      </c>
      <c r="Y109" s="7" t="s">
        <v>76</v>
      </c>
      <c r="Z109" s="7" t="s">
        <v>311</v>
      </c>
      <c r="AA109" s="9" t="str">
        <f t="shared" si="14"/>
        <v/>
      </c>
      <c r="AB109" s="13">
        <f t="shared" si="15"/>
        <v>6099891</v>
      </c>
      <c r="AC109" s="13">
        <f t="shared" si="16"/>
        <v>6099891</v>
      </c>
      <c r="AD109" s="13">
        <f t="shared" si="17"/>
        <v>0</v>
      </c>
    </row>
    <row r="110" spans="1:30" ht="38.25" x14ac:dyDescent="0.25">
      <c r="A110" s="7">
        <f t="shared" si="9"/>
        <v>84</v>
      </c>
      <c r="B110" s="7" t="s">
        <v>577</v>
      </c>
      <c r="C110" s="7" t="s">
        <v>570</v>
      </c>
      <c r="D110" s="8" t="str">
        <f>INDEX('Summary by Assessment'!$C$5:$C$101,MATCH(C110,'Summary by Assessment'!$B$5:$B$101,0))</f>
        <v>Perth</v>
      </c>
      <c r="E110" s="9" t="s">
        <v>571</v>
      </c>
      <c r="F110" s="9" t="s">
        <v>155</v>
      </c>
      <c r="G110" s="9" t="s">
        <v>295</v>
      </c>
      <c r="H110" s="7" t="s">
        <v>572</v>
      </c>
      <c r="I110" s="7" t="s">
        <v>92</v>
      </c>
      <c r="J110" s="9" t="s">
        <v>578</v>
      </c>
      <c r="K110" s="9" t="s">
        <v>307</v>
      </c>
      <c r="L110" s="9" t="s">
        <v>579</v>
      </c>
      <c r="M110" s="10">
        <v>3</v>
      </c>
      <c r="N110" s="10">
        <v>3</v>
      </c>
      <c r="O110" s="7">
        <f t="shared" si="10"/>
        <v>9</v>
      </c>
      <c r="P110" s="7" t="str">
        <f>INDEX('Scales &amp; Matrix'!$B$13:$F$17,6-N110,M110)</f>
        <v>Moderate</v>
      </c>
      <c r="Q110" s="9" t="s">
        <v>580</v>
      </c>
      <c r="R110" s="10">
        <v>3</v>
      </c>
      <c r="S110" s="10">
        <v>2</v>
      </c>
      <c r="T110" s="7">
        <f t="shared" si="11"/>
        <v>6</v>
      </c>
      <c r="U110" s="7" t="str">
        <f>INDEX('Scales &amp; Matrix'!$B$13:$F$17,6-S110,R110)</f>
        <v>Moderate</v>
      </c>
      <c r="V110" s="11">
        <f t="shared" si="12"/>
        <v>3</v>
      </c>
      <c r="W110" s="12">
        <f t="shared" si="13"/>
        <v>0.33333333333333331</v>
      </c>
      <c r="X110" s="9" t="s">
        <v>581</v>
      </c>
      <c r="Y110" s="7" t="s">
        <v>76</v>
      </c>
      <c r="Z110" s="7" t="s">
        <v>311</v>
      </c>
      <c r="AA110" s="9" t="str">
        <f t="shared" si="14"/>
        <v/>
      </c>
      <c r="AB110" s="13">
        <f t="shared" si="15"/>
        <v>6099890</v>
      </c>
      <c r="AC110" s="13">
        <f t="shared" si="16"/>
        <v>6099890</v>
      </c>
      <c r="AD110" s="13">
        <f t="shared" si="17"/>
        <v>0</v>
      </c>
    </row>
    <row r="111" spans="1:30" ht="51" x14ac:dyDescent="0.25">
      <c r="A111" s="7">
        <f t="shared" si="9"/>
        <v>84</v>
      </c>
      <c r="B111" s="7" t="s">
        <v>582</v>
      </c>
      <c r="C111" s="7" t="s">
        <v>583</v>
      </c>
      <c r="D111" s="8" t="str">
        <f>INDEX('Summary by Assessment'!$C$5:$C$101,MATCH(C111,'Summary by Assessment'!$B$5:$B$101,0))</f>
        <v>Perth</v>
      </c>
      <c r="E111" s="9" t="s">
        <v>584</v>
      </c>
      <c r="F111" s="9" t="s">
        <v>155</v>
      </c>
      <c r="G111" s="9" t="s">
        <v>295</v>
      </c>
      <c r="H111" s="7" t="s">
        <v>91</v>
      </c>
      <c r="I111" s="7" t="s">
        <v>53</v>
      </c>
      <c r="J111" s="9" t="s">
        <v>573</v>
      </c>
      <c r="K111" s="9" t="s">
        <v>307</v>
      </c>
      <c r="L111" s="9" t="s">
        <v>574</v>
      </c>
      <c r="M111" s="10">
        <v>3</v>
      </c>
      <c r="N111" s="10">
        <v>3</v>
      </c>
      <c r="O111" s="7">
        <f t="shared" si="10"/>
        <v>9</v>
      </c>
      <c r="P111" s="7" t="str">
        <f>INDEX('Scales &amp; Matrix'!$B$13:$F$17,6-N111,M111)</f>
        <v>Moderate</v>
      </c>
      <c r="Q111" s="9" t="s">
        <v>575</v>
      </c>
      <c r="R111" s="10">
        <v>3</v>
      </c>
      <c r="S111" s="10">
        <v>2</v>
      </c>
      <c r="T111" s="7">
        <f t="shared" si="11"/>
        <v>6</v>
      </c>
      <c r="U111" s="7" t="str">
        <f>INDEX('Scales &amp; Matrix'!$B$13:$F$17,6-S111,R111)</f>
        <v>Moderate</v>
      </c>
      <c r="V111" s="11">
        <f t="shared" si="12"/>
        <v>3</v>
      </c>
      <c r="W111" s="12">
        <f t="shared" si="13"/>
        <v>0.33333333333333331</v>
      </c>
      <c r="X111" s="9" t="s">
        <v>576</v>
      </c>
      <c r="Y111" s="7" t="s">
        <v>76</v>
      </c>
      <c r="Z111" s="7" t="s">
        <v>311</v>
      </c>
      <c r="AA111" s="9" t="str">
        <f t="shared" si="14"/>
        <v/>
      </c>
      <c r="AB111" s="13">
        <f t="shared" si="15"/>
        <v>6099889</v>
      </c>
      <c r="AC111" s="13">
        <f t="shared" si="16"/>
        <v>6099889</v>
      </c>
      <c r="AD111" s="13">
        <f t="shared" si="17"/>
        <v>0</v>
      </c>
    </row>
    <row r="112" spans="1:30" ht="38.25" x14ac:dyDescent="0.25">
      <c r="A112" s="7">
        <f t="shared" si="9"/>
        <v>84</v>
      </c>
      <c r="B112" s="7" t="s">
        <v>585</v>
      </c>
      <c r="C112" s="7" t="s">
        <v>583</v>
      </c>
      <c r="D112" s="8" t="str">
        <f>INDEX('Summary by Assessment'!$C$5:$C$101,MATCH(C112,'Summary by Assessment'!$B$5:$B$101,0))</f>
        <v>Perth</v>
      </c>
      <c r="E112" s="9" t="s">
        <v>584</v>
      </c>
      <c r="F112" s="9" t="s">
        <v>155</v>
      </c>
      <c r="G112" s="9" t="s">
        <v>295</v>
      </c>
      <c r="H112" s="7" t="s">
        <v>91</v>
      </c>
      <c r="I112" s="7" t="s">
        <v>92</v>
      </c>
      <c r="J112" s="9" t="s">
        <v>578</v>
      </c>
      <c r="K112" s="9" t="s">
        <v>307</v>
      </c>
      <c r="L112" s="9" t="s">
        <v>579</v>
      </c>
      <c r="M112" s="10">
        <v>3</v>
      </c>
      <c r="N112" s="10">
        <v>3</v>
      </c>
      <c r="O112" s="7">
        <f t="shared" si="10"/>
        <v>9</v>
      </c>
      <c r="P112" s="7" t="str">
        <f>INDEX('Scales &amp; Matrix'!$B$13:$F$17,6-N112,M112)</f>
        <v>Moderate</v>
      </c>
      <c r="Q112" s="9" t="s">
        <v>580</v>
      </c>
      <c r="R112" s="10">
        <v>3</v>
      </c>
      <c r="S112" s="10">
        <v>2</v>
      </c>
      <c r="T112" s="7">
        <f t="shared" si="11"/>
        <v>6</v>
      </c>
      <c r="U112" s="7" t="str">
        <f>INDEX('Scales &amp; Matrix'!$B$13:$F$17,6-S112,R112)</f>
        <v>Moderate</v>
      </c>
      <c r="V112" s="11">
        <f t="shared" si="12"/>
        <v>3</v>
      </c>
      <c r="W112" s="12">
        <f t="shared" si="13"/>
        <v>0.33333333333333331</v>
      </c>
      <c r="X112" s="9" t="s">
        <v>581</v>
      </c>
      <c r="Y112" s="7" t="s">
        <v>76</v>
      </c>
      <c r="Z112" s="7" t="s">
        <v>311</v>
      </c>
      <c r="AA112" s="9" t="str">
        <f t="shared" si="14"/>
        <v/>
      </c>
      <c r="AB112" s="13">
        <f t="shared" si="15"/>
        <v>6099888</v>
      </c>
      <c r="AC112" s="13">
        <f t="shared" si="16"/>
        <v>6099888</v>
      </c>
      <c r="AD112" s="13">
        <f t="shared" si="17"/>
        <v>0</v>
      </c>
    </row>
    <row r="113" spans="1:30" ht="38.25" x14ac:dyDescent="0.25">
      <c r="A113" s="7">
        <f t="shared" si="9"/>
        <v>84</v>
      </c>
      <c r="B113" s="7" t="s">
        <v>586</v>
      </c>
      <c r="C113" s="7" t="s">
        <v>587</v>
      </c>
      <c r="D113" s="8" t="str">
        <f>INDEX('Summary by Assessment'!$C$5:$C$101,MATCH(C113,'Summary by Assessment'!$B$5:$B$101,0))</f>
        <v>Perth</v>
      </c>
      <c r="E113" s="9" t="s">
        <v>588</v>
      </c>
      <c r="F113" s="9" t="s">
        <v>155</v>
      </c>
      <c r="G113" s="9" t="s">
        <v>51</v>
      </c>
      <c r="H113" s="7" t="s">
        <v>589</v>
      </c>
      <c r="I113" s="7" t="s">
        <v>53</v>
      </c>
      <c r="J113" s="9" t="s">
        <v>590</v>
      </c>
      <c r="K113" s="9" t="s">
        <v>307</v>
      </c>
      <c r="L113" s="9" t="s">
        <v>591</v>
      </c>
      <c r="M113" s="10">
        <v>3</v>
      </c>
      <c r="N113" s="10">
        <v>3</v>
      </c>
      <c r="O113" s="7">
        <f t="shared" si="10"/>
        <v>9</v>
      </c>
      <c r="P113" s="7" t="str">
        <f>INDEX('Scales &amp; Matrix'!$B$13:$F$17,6-N113,M113)</f>
        <v>Moderate</v>
      </c>
      <c r="Q113" s="9" t="s">
        <v>592</v>
      </c>
      <c r="R113" s="10">
        <v>3</v>
      </c>
      <c r="S113" s="10">
        <v>2</v>
      </c>
      <c r="T113" s="7">
        <f t="shared" si="11"/>
        <v>6</v>
      </c>
      <c r="U113" s="7" t="str">
        <f>INDEX('Scales &amp; Matrix'!$B$13:$F$17,6-S113,R113)</f>
        <v>Moderate</v>
      </c>
      <c r="V113" s="11">
        <f t="shared" si="12"/>
        <v>3</v>
      </c>
      <c r="W113" s="12">
        <f t="shared" si="13"/>
        <v>0.33333333333333331</v>
      </c>
      <c r="X113" s="9" t="s">
        <v>593</v>
      </c>
      <c r="Y113" s="7" t="s">
        <v>76</v>
      </c>
      <c r="Z113" s="7" t="s">
        <v>311</v>
      </c>
      <c r="AA113" s="9" t="str">
        <f t="shared" si="14"/>
        <v/>
      </c>
      <c r="AB113" s="13">
        <f t="shared" si="15"/>
        <v>6099887</v>
      </c>
      <c r="AC113" s="13">
        <f t="shared" si="16"/>
        <v>6099887</v>
      </c>
      <c r="AD113" s="13">
        <f t="shared" si="17"/>
        <v>0</v>
      </c>
    </row>
    <row r="114" spans="1:30" ht="38.25" x14ac:dyDescent="0.25">
      <c r="A114" s="7">
        <f t="shared" si="9"/>
        <v>84</v>
      </c>
      <c r="B114" s="7" t="s">
        <v>594</v>
      </c>
      <c r="C114" s="7" t="s">
        <v>595</v>
      </c>
      <c r="D114" s="8" t="str">
        <f>INDEX('Summary by Assessment'!$C$5:$C$101,MATCH(C114,'Summary by Assessment'!$B$5:$B$101,0))</f>
        <v>Perth</v>
      </c>
      <c r="E114" s="9" t="s">
        <v>596</v>
      </c>
      <c r="F114" s="9" t="s">
        <v>155</v>
      </c>
      <c r="G114" s="9" t="s">
        <v>180</v>
      </c>
      <c r="H114" s="7" t="s">
        <v>597</v>
      </c>
      <c r="I114" s="7" t="s">
        <v>53</v>
      </c>
      <c r="J114" s="9" t="s">
        <v>564</v>
      </c>
      <c r="K114" s="9" t="s">
        <v>307</v>
      </c>
      <c r="L114" s="9" t="s">
        <v>565</v>
      </c>
      <c r="M114" s="10">
        <v>3</v>
      </c>
      <c r="N114" s="10">
        <v>3</v>
      </c>
      <c r="O114" s="7">
        <f t="shared" si="10"/>
        <v>9</v>
      </c>
      <c r="P114" s="7" t="str">
        <f>INDEX('Scales &amp; Matrix'!$B$13:$F$17,6-N114,M114)</f>
        <v>Moderate</v>
      </c>
      <c r="Q114" s="9" t="s">
        <v>566</v>
      </c>
      <c r="R114" s="10">
        <v>3</v>
      </c>
      <c r="S114" s="10">
        <v>2</v>
      </c>
      <c r="T114" s="7">
        <f t="shared" si="11"/>
        <v>6</v>
      </c>
      <c r="U114" s="7" t="str">
        <f>INDEX('Scales &amp; Matrix'!$B$13:$F$17,6-S114,R114)</f>
        <v>Moderate</v>
      </c>
      <c r="V114" s="11">
        <f t="shared" si="12"/>
        <v>3</v>
      </c>
      <c r="W114" s="12">
        <f t="shared" si="13"/>
        <v>0.33333333333333331</v>
      </c>
      <c r="X114" s="9" t="s">
        <v>567</v>
      </c>
      <c r="Y114" s="7" t="s">
        <v>76</v>
      </c>
      <c r="Z114" s="7" t="s">
        <v>311</v>
      </c>
      <c r="AA114" s="9" t="str">
        <f t="shared" si="14"/>
        <v/>
      </c>
      <c r="AB114" s="13">
        <f t="shared" si="15"/>
        <v>6099886</v>
      </c>
      <c r="AC114" s="13">
        <f t="shared" si="16"/>
        <v>6099886</v>
      </c>
      <c r="AD114" s="13">
        <f t="shared" si="17"/>
        <v>0</v>
      </c>
    </row>
    <row r="115" spans="1:30" ht="63.75" x14ac:dyDescent="0.25">
      <c r="A115" s="7">
        <f t="shared" si="9"/>
        <v>84</v>
      </c>
      <c r="B115" s="7" t="s">
        <v>598</v>
      </c>
      <c r="C115" s="7" t="s">
        <v>599</v>
      </c>
      <c r="D115" s="8" t="str">
        <f>INDEX('Summary by Assessment'!$C$5:$C$101,MATCH(C115,'Summary by Assessment'!$B$5:$B$101,0))</f>
        <v>Perth</v>
      </c>
      <c r="E115" s="9" t="s">
        <v>600</v>
      </c>
      <c r="F115" s="9" t="s">
        <v>155</v>
      </c>
      <c r="G115" s="9" t="s">
        <v>51</v>
      </c>
      <c r="H115" s="7" t="s">
        <v>404</v>
      </c>
      <c r="I115" s="7" t="s">
        <v>53</v>
      </c>
      <c r="J115" s="9" t="s">
        <v>601</v>
      </c>
      <c r="K115" s="9" t="s">
        <v>413</v>
      </c>
      <c r="L115" s="9" t="s">
        <v>602</v>
      </c>
      <c r="M115" s="10">
        <v>3</v>
      </c>
      <c r="N115" s="10">
        <v>3</v>
      </c>
      <c r="O115" s="7">
        <f t="shared" si="10"/>
        <v>9</v>
      </c>
      <c r="P115" s="7" t="str">
        <f>INDEX('Scales &amp; Matrix'!$B$13:$F$17,6-N115,M115)</f>
        <v>Moderate</v>
      </c>
      <c r="Q115" s="9" t="s">
        <v>603</v>
      </c>
      <c r="R115" s="10">
        <v>3</v>
      </c>
      <c r="S115" s="10">
        <v>2</v>
      </c>
      <c r="T115" s="7">
        <f t="shared" si="11"/>
        <v>6</v>
      </c>
      <c r="U115" s="7" t="str">
        <f>INDEX('Scales &amp; Matrix'!$B$13:$F$17,6-S115,R115)</f>
        <v>Moderate</v>
      </c>
      <c r="V115" s="11">
        <f t="shared" si="12"/>
        <v>3</v>
      </c>
      <c r="W115" s="12">
        <f t="shared" si="13"/>
        <v>0.33333333333333331</v>
      </c>
      <c r="X115" s="9" t="s">
        <v>215</v>
      </c>
      <c r="Y115" s="7" t="s">
        <v>76</v>
      </c>
      <c r="Z115" s="7" t="s">
        <v>311</v>
      </c>
      <c r="AA115" s="9" t="str">
        <f t="shared" si="14"/>
        <v/>
      </c>
      <c r="AB115" s="13">
        <f t="shared" si="15"/>
        <v>6099885</v>
      </c>
      <c r="AC115" s="13">
        <f t="shared" si="16"/>
        <v>6099885</v>
      </c>
      <c r="AD115" s="13">
        <f t="shared" si="17"/>
        <v>0</v>
      </c>
    </row>
    <row r="116" spans="1:30" ht="63.75" x14ac:dyDescent="0.25">
      <c r="A116" s="7">
        <f t="shared" si="9"/>
        <v>84</v>
      </c>
      <c r="B116" s="7" t="s">
        <v>604</v>
      </c>
      <c r="C116" s="7" t="s">
        <v>605</v>
      </c>
      <c r="D116" s="8" t="str">
        <f>INDEX('Summary by Assessment'!$C$5:$C$101,MATCH(C116,'Summary by Assessment'!$B$5:$B$101,0))</f>
        <v>Perth</v>
      </c>
      <c r="E116" s="9" t="s">
        <v>606</v>
      </c>
      <c r="F116" s="9" t="s">
        <v>155</v>
      </c>
      <c r="G116" s="9" t="s">
        <v>51</v>
      </c>
      <c r="H116" s="7" t="s">
        <v>607</v>
      </c>
      <c r="I116" s="7" t="s">
        <v>53</v>
      </c>
      <c r="J116" s="9" t="s">
        <v>608</v>
      </c>
      <c r="K116" s="9" t="s">
        <v>413</v>
      </c>
      <c r="L116" s="9" t="s">
        <v>609</v>
      </c>
      <c r="M116" s="10">
        <v>3</v>
      </c>
      <c r="N116" s="10">
        <v>3</v>
      </c>
      <c r="O116" s="7">
        <f t="shared" si="10"/>
        <v>9</v>
      </c>
      <c r="P116" s="7" t="str">
        <f>INDEX('Scales &amp; Matrix'!$B$13:$F$17,6-N116,M116)</f>
        <v>Moderate</v>
      </c>
      <c r="Q116" s="9" t="s">
        <v>610</v>
      </c>
      <c r="R116" s="10">
        <v>3</v>
      </c>
      <c r="S116" s="10">
        <v>2</v>
      </c>
      <c r="T116" s="7">
        <f t="shared" si="11"/>
        <v>6</v>
      </c>
      <c r="U116" s="7" t="str">
        <f>INDEX('Scales &amp; Matrix'!$B$13:$F$17,6-S116,R116)</f>
        <v>Moderate</v>
      </c>
      <c r="V116" s="11">
        <f t="shared" si="12"/>
        <v>3</v>
      </c>
      <c r="W116" s="12">
        <f t="shared" si="13"/>
        <v>0.33333333333333331</v>
      </c>
      <c r="X116" s="9" t="s">
        <v>215</v>
      </c>
      <c r="Y116" s="7" t="s">
        <v>76</v>
      </c>
      <c r="Z116" s="7" t="s">
        <v>311</v>
      </c>
      <c r="AA116" s="9" t="str">
        <f t="shared" si="14"/>
        <v/>
      </c>
      <c r="AB116" s="13">
        <f t="shared" si="15"/>
        <v>6099884</v>
      </c>
      <c r="AC116" s="13">
        <f t="shared" si="16"/>
        <v>6099884</v>
      </c>
      <c r="AD116" s="13">
        <f t="shared" si="17"/>
        <v>0</v>
      </c>
    </row>
    <row r="117" spans="1:30" ht="102" x14ac:dyDescent="0.25">
      <c r="A117" s="7">
        <f t="shared" si="9"/>
        <v>84</v>
      </c>
      <c r="B117" s="7" t="s">
        <v>611</v>
      </c>
      <c r="C117" s="7" t="s">
        <v>612</v>
      </c>
      <c r="D117" s="8" t="str">
        <f>INDEX('Summary by Assessment'!$C$5:$C$101,MATCH(C117,'Summary by Assessment'!$B$5:$B$101,0))</f>
        <v>Perth</v>
      </c>
      <c r="E117" s="9" t="s">
        <v>613</v>
      </c>
      <c r="F117" s="9" t="s">
        <v>170</v>
      </c>
      <c r="G117" s="9" t="s">
        <v>51</v>
      </c>
      <c r="H117" s="7" t="s">
        <v>614</v>
      </c>
      <c r="I117" s="7" t="s">
        <v>53</v>
      </c>
      <c r="J117" s="9" t="s">
        <v>615</v>
      </c>
      <c r="K117" s="9" t="s">
        <v>616</v>
      </c>
      <c r="L117" s="9" t="s">
        <v>617</v>
      </c>
      <c r="M117" s="10">
        <v>3</v>
      </c>
      <c r="N117" s="10">
        <v>3</v>
      </c>
      <c r="O117" s="7">
        <f t="shared" si="10"/>
        <v>9</v>
      </c>
      <c r="P117" s="7" t="str">
        <f>INDEX('Scales &amp; Matrix'!$B$13:$F$17,6-N117,M117)</f>
        <v>Moderate</v>
      </c>
      <c r="Q117" s="9" t="s">
        <v>618</v>
      </c>
      <c r="R117" s="10">
        <v>3</v>
      </c>
      <c r="S117" s="10">
        <v>2</v>
      </c>
      <c r="T117" s="7">
        <f t="shared" si="11"/>
        <v>6</v>
      </c>
      <c r="U117" s="7" t="str">
        <f>INDEX('Scales &amp; Matrix'!$B$13:$F$17,6-S117,R117)</f>
        <v>Moderate</v>
      </c>
      <c r="V117" s="11">
        <f t="shared" si="12"/>
        <v>3</v>
      </c>
      <c r="W117" s="12">
        <f t="shared" si="13"/>
        <v>0.33333333333333331</v>
      </c>
      <c r="X117" s="9" t="s">
        <v>215</v>
      </c>
      <c r="Y117" s="7" t="s">
        <v>76</v>
      </c>
      <c r="Z117" s="7" t="s">
        <v>311</v>
      </c>
      <c r="AA117" s="9" t="str">
        <f t="shared" si="14"/>
        <v/>
      </c>
      <c r="AB117" s="13">
        <f t="shared" si="15"/>
        <v>6099883</v>
      </c>
      <c r="AC117" s="13">
        <f t="shared" si="16"/>
        <v>6099883</v>
      </c>
      <c r="AD117" s="13">
        <f t="shared" si="17"/>
        <v>0</v>
      </c>
    </row>
    <row r="118" spans="1:30" ht="102" x14ac:dyDescent="0.25">
      <c r="A118" s="7">
        <f t="shared" si="9"/>
        <v>84</v>
      </c>
      <c r="B118" s="7" t="s">
        <v>619</v>
      </c>
      <c r="C118" s="7" t="s">
        <v>620</v>
      </c>
      <c r="D118" s="8" t="str">
        <f>INDEX('Summary by Assessment'!$C$5:$C$101,MATCH(C118,'Summary by Assessment'!$B$5:$B$101,0))</f>
        <v>Perth</v>
      </c>
      <c r="E118" s="9" t="s">
        <v>621</v>
      </c>
      <c r="F118" s="9" t="s">
        <v>170</v>
      </c>
      <c r="G118" s="9" t="s">
        <v>51</v>
      </c>
      <c r="H118" s="7" t="s">
        <v>614</v>
      </c>
      <c r="I118" s="7" t="s">
        <v>53</v>
      </c>
      <c r="J118" s="9" t="s">
        <v>622</v>
      </c>
      <c r="K118" s="9" t="s">
        <v>616</v>
      </c>
      <c r="L118" s="9" t="s">
        <v>623</v>
      </c>
      <c r="M118" s="10">
        <v>3</v>
      </c>
      <c r="N118" s="10">
        <v>3</v>
      </c>
      <c r="O118" s="7">
        <f t="shared" si="10"/>
        <v>9</v>
      </c>
      <c r="P118" s="7" t="str">
        <f>INDEX('Scales &amp; Matrix'!$B$13:$F$17,6-N118,M118)</f>
        <v>Moderate</v>
      </c>
      <c r="Q118" s="9" t="s">
        <v>624</v>
      </c>
      <c r="R118" s="10">
        <v>3</v>
      </c>
      <c r="S118" s="10">
        <v>2</v>
      </c>
      <c r="T118" s="7">
        <f t="shared" si="11"/>
        <v>6</v>
      </c>
      <c r="U118" s="7" t="str">
        <f>INDEX('Scales &amp; Matrix'!$B$13:$F$17,6-S118,R118)</f>
        <v>Moderate</v>
      </c>
      <c r="V118" s="11">
        <f t="shared" si="12"/>
        <v>3</v>
      </c>
      <c r="W118" s="12">
        <f t="shared" si="13"/>
        <v>0.33333333333333331</v>
      </c>
      <c r="X118" s="9" t="s">
        <v>215</v>
      </c>
      <c r="Y118" s="7" t="s">
        <v>76</v>
      </c>
      <c r="Z118" s="7" t="s">
        <v>311</v>
      </c>
      <c r="AA118" s="9" t="str">
        <f t="shared" si="14"/>
        <v/>
      </c>
      <c r="AB118" s="13">
        <f t="shared" si="15"/>
        <v>6099882</v>
      </c>
      <c r="AC118" s="13">
        <f t="shared" si="16"/>
        <v>6099882</v>
      </c>
      <c r="AD118" s="13">
        <f t="shared" si="17"/>
        <v>0</v>
      </c>
    </row>
    <row r="119" spans="1:30" ht="76.5" x14ac:dyDescent="0.25">
      <c r="A119" s="7">
        <f t="shared" si="9"/>
        <v>84</v>
      </c>
      <c r="B119" s="7" t="s">
        <v>625</v>
      </c>
      <c r="C119" s="7" t="s">
        <v>80</v>
      </c>
      <c r="D119" s="8" t="str">
        <f>INDEX('Summary by Assessment'!$C$5:$C$101,MATCH(C119,'Summary by Assessment'!$B$5:$B$101,0))</f>
        <v>Fremantle</v>
      </c>
      <c r="E119" s="9" t="s">
        <v>81</v>
      </c>
      <c r="F119" s="9" t="s">
        <v>50</v>
      </c>
      <c r="G119" s="9" t="s">
        <v>51</v>
      </c>
      <c r="H119" s="7" t="s">
        <v>71</v>
      </c>
      <c r="I119" s="7" t="s">
        <v>92</v>
      </c>
      <c r="J119" s="9" t="s">
        <v>626</v>
      </c>
      <c r="K119" s="9" t="s">
        <v>83</v>
      </c>
      <c r="L119" s="9" t="s">
        <v>627</v>
      </c>
      <c r="M119" s="10">
        <v>3</v>
      </c>
      <c r="N119" s="10">
        <v>3</v>
      </c>
      <c r="O119" s="7">
        <f t="shared" si="10"/>
        <v>9</v>
      </c>
      <c r="P119" s="7" t="str">
        <f>INDEX('Scales &amp; Matrix'!$B$13:$F$17,6-N119,M119)</f>
        <v>Moderate</v>
      </c>
      <c r="Q119" s="9" t="s">
        <v>628</v>
      </c>
      <c r="R119" s="10">
        <v>2</v>
      </c>
      <c r="S119" s="10">
        <v>3</v>
      </c>
      <c r="T119" s="7">
        <f t="shared" si="11"/>
        <v>6</v>
      </c>
      <c r="U119" s="7" t="str">
        <f>INDEX('Scales &amp; Matrix'!$B$13:$F$17,6-S119,R119)</f>
        <v>Moderate</v>
      </c>
      <c r="V119" s="11">
        <f t="shared" si="12"/>
        <v>3</v>
      </c>
      <c r="W119" s="12">
        <f t="shared" si="13"/>
        <v>0.33333333333333331</v>
      </c>
      <c r="X119" s="9" t="s">
        <v>67</v>
      </c>
      <c r="Y119" s="7" t="s">
        <v>76</v>
      </c>
      <c r="Z119" s="7" t="s">
        <v>311</v>
      </c>
      <c r="AA119" s="9" t="str">
        <f t="shared" si="14"/>
        <v/>
      </c>
      <c r="AB119" s="13">
        <f t="shared" si="15"/>
        <v>6099881</v>
      </c>
      <c r="AC119" s="13">
        <f t="shared" si="16"/>
        <v>0</v>
      </c>
      <c r="AD119" s="13">
        <f t="shared" si="17"/>
        <v>6099881</v>
      </c>
    </row>
    <row r="120" spans="1:30" ht="89.25" x14ac:dyDescent="0.25">
      <c r="A120" s="7">
        <f t="shared" si="9"/>
        <v>84</v>
      </c>
      <c r="B120" s="7" t="s">
        <v>629</v>
      </c>
      <c r="C120" s="7" t="s">
        <v>547</v>
      </c>
      <c r="D120" s="8" t="str">
        <f>INDEX('Summary by Assessment'!$C$5:$C$101,MATCH(C120,'Summary by Assessment'!$B$5:$B$101,0))</f>
        <v>Fremantle</v>
      </c>
      <c r="E120" s="9" t="s">
        <v>548</v>
      </c>
      <c r="F120" s="9" t="s">
        <v>232</v>
      </c>
      <c r="G120" s="9" t="s">
        <v>51</v>
      </c>
      <c r="H120" s="7" t="s">
        <v>549</v>
      </c>
      <c r="I120" s="7" t="s">
        <v>92</v>
      </c>
      <c r="J120" s="9" t="s">
        <v>630</v>
      </c>
      <c r="K120" s="9" t="s">
        <v>631</v>
      </c>
      <c r="L120" s="9" t="s">
        <v>632</v>
      </c>
      <c r="M120" s="10">
        <v>3</v>
      </c>
      <c r="N120" s="10">
        <v>3</v>
      </c>
      <c r="O120" s="7">
        <f t="shared" si="10"/>
        <v>9</v>
      </c>
      <c r="P120" s="7" t="str">
        <f>INDEX('Scales &amp; Matrix'!$B$13:$F$17,6-N120,M120)</f>
        <v>Moderate</v>
      </c>
      <c r="Q120" s="9" t="s">
        <v>633</v>
      </c>
      <c r="R120" s="10">
        <v>2</v>
      </c>
      <c r="S120" s="10">
        <v>3</v>
      </c>
      <c r="T120" s="7">
        <f t="shared" si="11"/>
        <v>6</v>
      </c>
      <c r="U120" s="7" t="str">
        <f>INDEX('Scales &amp; Matrix'!$B$13:$F$17,6-S120,R120)</f>
        <v>Moderate</v>
      </c>
      <c r="V120" s="11">
        <f t="shared" si="12"/>
        <v>3</v>
      </c>
      <c r="W120" s="12">
        <f t="shared" si="13"/>
        <v>0.33333333333333331</v>
      </c>
      <c r="X120" s="9" t="s">
        <v>97</v>
      </c>
      <c r="Y120" s="7" t="s">
        <v>76</v>
      </c>
      <c r="Z120" s="7" t="s">
        <v>311</v>
      </c>
      <c r="AA120" s="9" t="str">
        <f t="shared" si="14"/>
        <v/>
      </c>
      <c r="AB120" s="13">
        <f t="shared" si="15"/>
        <v>6099880</v>
      </c>
      <c r="AC120" s="13">
        <f t="shared" si="16"/>
        <v>0</v>
      </c>
      <c r="AD120" s="13">
        <f t="shared" si="17"/>
        <v>6099880</v>
      </c>
    </row>
    <row r="121" spans="1:30" ht="63.75" x14ac:dyDescent="0.25">
      <c r="A121" s="7">
        <f t="shared" si="9"/>
        <v>84</v>
      </c>
      <c r="B121" s="7" t="s">
        <v>634</v>
      </c>
      <c r="C121" s="7" t="s">
        <v>369</v>
      </c>
      <c r="D121" s="8" t="str">
        <f>INDEX('Summary by Assessment'!$C$5:$C$101,MATCH(C121,'Summary by Assessment'!$B$5:$B$101,0))</f>
        <v>Fremantle</v>
      </c>
      <c r="E121" s="9" t="s">
        <v>370</v>
      </c>
      <c r="F121" s="9" t="s">
        <v>36</v>
      </c>
      <c r="G121" s="9" t="s">
        <v>51</v>
      </c>
      <c r="H121" s="7" t="s">
        <v>91</v>
      </c>
      <c r="I121" s="7" t="s">
        <v>92</v>
      </c>
      <c r="J121" s="9" t="s">
        <v>635</v>
      </c>
      <c r="K121" s="9" t="s">
        <v>486</v>
      </c>
      <c r="L121" s="9" t="s">
        <v>636</v>
      </c>
      <c r="M121" s="10">
        <v>3</v>
      </c>
      <c r="N121" s="10">
        <v>3</v>
      </c>
      <c r="O121" s="7">
        <f t="shared" si="10"/>
        <v>9</v>
      </c>
      <c r="P121" s="7" t="str">
        <f>INDEX('Scales &amp; Matrix'!$B$13:$F$17,6-N121,M121)</f>
        <v>Moderate</v>
      </c>
      <c r="Q121" s="9" t="s">
        <v>637</v>
      </c>
      <c r="R121" s="10">
        <v>2</v>
      </c>
      <c r="S121" s="10">
        <v>3</v>
      </c>
      <c r="T121" s="7">
        <f t="shared" si="11"/>
        <v>6</v>
      </c>
      <c r="U121" s="7" t="str">
        <f>INDEX('Scales &amp; Matrix'!$B$13:$F$17,6-S121,R121)</f>
        <v>Moderate</v>
      </c>
      <c r="V121" s="11">
        <f t="shared" si="12"/>
        <v>3</v>
      </c>
      <c r="W121" s="12">
        <f t="shared" si="13"/>
        <v>0.33333333333333331</v>
      </c>
      <c r="X121" s="9" t="s">
        <v>176</v>
      </c>
      <c r="Y121" s="7" t="s">
        <v>76</v>
      </c>
      <c r="Z121" s="7" t="s">
        <v>311</v>
      </c>
      <c r="AA121" s="9" t="str">
        <f t="shared" si="14"/>
        <v/>
      </c>
      <c r="AB121" s="13">
        <f t="shared" si="15"/>
        <v>6099879</v>
      </c>
      <c r="AC121" s="13">
        <f t="shared" si="16"/>
        <v>0</v>
      </c>
      <c r="AD121" s="13">
        <f t="shared" si="17"/>
        <v>6099879</v>
      </c>
    </row>
    <row r="122" spans="1:30" ht="51" x14ac:dyDescent="0.25">
      <c r="A122" s="7">
        <f t="shared" si="9"/>
        <v>84</v>
      </c>
      <c r="B122" s="7" t="s">
        <v>638</v>
      </c>
      <c r="C122" s="7" t="s">
        <v>639</v>
      </c>
      <c r="D122" s="8" t="str">
        <f>INDEX('Summary by Assessment'!$C$5:$C$101,MATCH(C122,'Summary by Assessment'!$B$5:$B$101,0))</f>
        <v>Fremantle</v>
      </c>
      <c r="E122" s="9" t="s">
        <v>640</v>
      </c>
      <c r="F122" s="9" t="s">
        <v>50</v>
      </c>
      <c r="G122" s="9" t="s">
        <v>51</v>
      </c>
      <c r="H122" s="7" t="s">
        <v>91</v>
      </c>
      <c r="I122" s="7" t="s">
        <v>218</v>
      </c>
      <c r="J122" s="9" t="s">
        <v>641</v>
      </c>
      <c r="K122" s="9" t="s">
        <v>298</v>
      </c>
      <c r="L122" s="9" t="s">
        <v>642</v>
      </c>
      <c r="M122" s="10">
        <v>3</v>
      </c>
      <c r="N122" s="10">
        <v>3</v>
      </c>
      <c r="O122" s="7">
        <f t="shared" si="10"/>
        <v>9</v>
      </c>
      <c r="P122" s="7" t="str">
        <f>INDEX('Scales &amp; Matrix'!$B$13:$F$17,6-N122,M122)</f>
        <v>Moderate</v>
      </c>
      <c r="Q122" s="9" t="s">
        <v>643</v>
      </c>
      <c r="R122" s="10">
        <v>2</v>
      </c>
      <c r="S122" s="10">
        <v>3</v>
      </c>
      <c r="T122" s="7">
        <f t="shared" si="11"/>
        <v>6</v>
      </c>
      <c r="U122" s="7" t="str">
        <f>INDEX('Scales &amp; Matrix'!$B$13:$F$17,6-S122,R122)</f>
        <v>Moderate</v>
      </c>
      <c r="V122" s="11">
        <f t="shared" si="12"/>
        <v>3</v>
      </c>
      <c r="W122" s="12">
        <f t="shared" si="13"/>
        <v>0.33333333333333331</v>
      </c>
      <c r="X122" s="9" t="s">
        <v>176</v>
      </c>
      <c r="Y122" s="7" t="s">
        <v>76</v>
      </c>
      <c r="Z122" s="7" t="s">
        <v>311</v>
      </c>
      <c r="AA122" s="9" t="str">
        <f t="shared" si="14"/>
        <v/>
      </c>
      <c r="AB122" s="13">
        <f t="shared" si="15"/>
        <v>6099878</v>
      </c>
      <c r="AC122" s="13">
        <f t="shared" si="16"/>
        <v>0</v>
      </c>
      <c r="AD122" s="13">
        <f t="shared" si="17"/>
        <v>6099878</v>
      </c>
    </row>
    <row r="123" spans="1:30" ht="76.5" x14ac:dyDescent="0.25">
      <c r="A123" s="7">
        <f t="shared" si="9"/>
        <v>84</v>
      </c>
      <c r="B123" s="7" t="s">
        <v>644</v>
      </c>
      <c r="C123" s="7" t="s">
        <v>160</v>
      </c>
      <c r="D123" s="8" t="str">
        <f>INDEX('Summary by Assessment'!$C$5:$C$101,MATCH(C123,'Summary by Assessment'!$B$5:$B$101,0))</f>
        <v>Fremantle</v>
      </c>
      <c r="E123" s="9" t="s">
        <v>161</v>
      </c>
      <c r="F123" s="9" t="s">
        <v>36</v>
      </c>
      <c r="G123" s="9" t="s">
        <v>51</v>
      </c>
      <c r="H123" s="7" t="s">
        <v>91</v>
      </c>
      <c r="I123" s="7" t="s">
        <v>39</v>
      </c>
      <c r="J123" s="9" t="s">
        <v>645</v>
      </c>
      <c r="K123" s="9" t="s">
        <v>277</v>
      </c>
      <c r="L123" s="9" t="s">
        <v>646</v>
      </c>
      <c r="M123" s="10">
        <v>3</v>
      </c>
      <c r="N123" s="10">
        <v>3</v>
      </c>
      <c r="O123" s="7">
        <f t="shared" si="10"/>
        <v>9</v>
      </c>
      <c r="P123" s="7" t="str">
        <f>INDEX('Scales &amp; Matrix'!$B$13:$F$17,6-N123,M123)</f>
        <v>Moderate</v>
      </c>
      <c r="Q123" s="9" t="s">
        <v>647</v>
      </c>
      <c r="R123" s="10">
        <v>2</v>
      </c>
      <c r="S123" s="10">
        <v>3</v>
      </c>
      <c r="T123" s="7">
        <f t="shared" si="11"/>
        <v>6</v>
      </c>
      <c r="U123" s="7" t="str">
        <f>INDEX('Scales &amp; Matrix'!$B$13:$F$17,6-S123,R123)</f>
        <v>Moderate</v>
      </c>
      <c r="V123" s="11">
        <f t="shared" si="12"/>
        <v>3</v>
      </c>
      <c r="W123" s="12">
        <f t="shared" si="13"/>
        <v>0.33333333333333331</v>
      </c>
      <c r="X123" s="9" t="s">
        <v>176</v>
      </c>
      <c r="Y123" s="7" t="s">
        <v>76</v>
      </c>
      <c r="Z123" s="7" t="s">
        <v>311</v>
      </c>
      <c r="AA123" s="9" t="str">
        <f t="shared" si="14"/>
        <v/>
      </c>
      <c r="AB123" s="13">
        <f t="shared" si="15"/>
        <v>6099877</v>
      </c>
      <c r="AC123" s="13">
        <f t="shared" si="16"/>
        <v>0</v>
      </c>
      <c r="AD123" s="13">
        <f t="shared" si="17"/>
        <v>6099877</v>
      </c>
    </row>
    <row r="124" spans="1:30" ht="63.75" x14ac:dyDescent="0.25">
      <c r="A124" s="7">
        <f t="shared" si="9"/>
        <v>84</v>
      </c>
      <c r="B124" s="7" t="s">
        <v>648</v>
      </c>
      <c r="C124" s="7" t="s">
        <v>144</v>
      </c>
      <c r="D124" s="8" t="str">
        <f>INDEX('Summary by Assessment'!$C$5:$C$101,MATCH(C124,'Summary by Assessment'!$B$5:$B$101,0))</f>
        <v>Fremantle</v>
      </c>
      <c r="E124" s="9" t="s">
        <v>145</v>
      </c>
      <c r="F124" s="9" t="s">
        <v>50</v>
      </c>
      <c r="G124" s="9" t="s">
        <v>51</v>
      </c>
      <c r="H124" s="7" t="s">
        <v>71</v>
      </c>
      <c r="I124" s="7" t="s">
        <v>53</v>
      </c>
      <c r="J124" s="9" t="s">
        <v>649</v>
      </c>
      <c r="K124" s="9" t="s">
        <v>73</v>
      </c>
      <c r="L124" s="9" t="s">
        <v>650</v>
      </c>
      <c r="M124" s="10">
        <v>3</v>
      </c>
      <c r="N124" s="10">
        <v>3</v>
      </c>
      <c r="O124" s="7">
        <f t="shared" si="10"/>
        <v>9</v>
      </c>
      <c r="P124" s="7" t="str">
        <f>INDEX('Scales &amp; Matrix'!$B$13:$F$17,6-N124,M124)</f>
        <v>Moderate</v>
      </c>
      <c r="Q124" s="9" t="s">
        <v>651</v>
      </c>
      <c r="R124" s="10">
        <v>2</v>
      </c>
      <c r="S124" s="10">
        <v>3</v>
      </c>
      <c r="T124" s="7">
        <f t="shared" si="11"/>
        <v>6</v>
      </c>
      <c r="U124" s="7" t="str">
        <f>INDEX('Scales &amp; Matrix'!$B$13:$F$17,6-S124,R124)</f>
        <v>Moderate</v>
      </c>
      <c r="V124" s="11">
        <f t="shared" si="12"/>
        <v>3</v>
      </c>
      <c r="W124" s="12">
        <f t="shared" si="13"/>
        <v>0.33333333333333331</v>
      </c>
      <c r="X124" s="9" t="s">
        <v>67</v>
      </c>
      <c r="Y124" s="7" t="s">
        <v>76</v>
      </c>
      <c r="Z124" s="7" t="s">
        <v>311</v>
      </c>
      <c r="AA124" s="9" t="str">
        <f t="shared" si="14"/>
        <v/>
      </c>
      <c r="AB124" s="13">
        <f t="shared" si="15"/>
        <v>6099876</v>
      </c>
      <c r="AC124" s="13">
        <f t="shared" si="16"/>
        <v>0</v>
      </c>
      <c r="AD124" s="13">
        <f t="shared" si="17"/>
        <v>6099876</v>
      </c>
    </row>
    <row r="125" spans="1:30" ht="51" x14ac:dyDescent="0.25">
      <c r="A125" s="7">
        <f t="shared" si="9"/>
        <v>84</v>
      </c>
      <c r="B125" s="7" t="s">
        <v>652</v>
      </c>
      <c r="C125" s="7" t="s">
        <v>474</v>
      </c>
      <c r="D125" s="8" t="str">
        <f>INDEX('Summary by Assessment'!$C$5:$C$101,MATCH(C125,'Summary by Assessment'!$B$5:$B$101,0))</f>
        <v>Fremantle</v>
      </c>
      <c r="E125" s="9" t="s">
        <v>475</v>
      </c>
      <c r="F125" s="9" t="s">
        <v>36</v>
      </c>
      <c r="G125" s="9" t="s">
        <v>51</v>
      </c>
      <c r="H125" s="7" t="s">
        <v>91</v>
      </c>
      <c r="I125" s="7" t="s">
        <v>92</v>
      </c>
      <c r="J125" s="9" t="s">
        <v>653</v>
      </c>
      <c r="K125" s="9" t="s">
        <v>477</v>
      </c>
      <c r="L125" s="9" t="s">
        <v>654</v>
      </c>
      <c r="M125" s="10">
        <v>3</v>
      </c>
      <c r="N125" s="10">
        <v>3</v>
      </c>
      <c r="O125" s="7">
        <f t="shared" si="10"/>
        <v>9</v>
      </c>
      <c r="P125" s="7" t="str">
        <f>INDEX('Scales &amp; Matrix'!$B$13:$F$17,6-N125,M125)</f>
        <v>Moderate</v>
      </c>
      <c r="Q125" s="9" t="s">
        <v>655</v>
      </c>
      <c r="R125" s="10">
        <v>2</v>
      </c>
      <c r="S125" s="10">
        <v>3</v>
      </c>
      <c r="T125" s="7">
        <f t="shared" si="11"/>
        <v>6</v>
      </c>
      <c r="U125" s="7" t="str">
        <f>INDEX('Scales &amp; Matrix'!$B$13:$F$17,6-S125,R125)</f>
        <v>Moderate</v>
      </c>
      <c r="V125" s="11">
        <f t="shared" si="12"/>
        <v>3</v>
      </c>
      <c r="W125" s="12">
        <f t="shared" si="13"/>
        <v>0.33333333333333331</v>
      </c>
      <c r="X125" s="9" t="s">
        <v>166</v>
      </c>
      <c r="Y125" s="7" t="s">
        <v>76</v>
      </c>
      <c r="Z125" s="7" t="s">
        <v>311</v>
      </c>
      <c r="AA125" s="9" t="str">
        <f t="shared" si="14"/>
        <v/>
      </c>
      <c r="AB125" s="13">
        <f t="shared" si="15"/>
        <v>6099875</v>
      </c>
      <c r="AC125" s="13">
        <f t="shared" si="16"/>
        <v>0</v>
      </c>
      <c r="AD125" s="13">
        <f t="shared" si="17"/>
        <v>6099875</v>
      </c>
    </row>
    <row r="126" spans="1:30" ht="76.5" x14ac:dyDescent="0.25">
      <c r="A126" s="7">
        <f t="shared" si="9"/>
        <v>84</v>
      </c>
      <c r="B126" s="7" t="s">
        <v>656</v>
      </c>
      <c r="C126" s="7" t="s">
        <v>117</v>
      </c>
      <c r="D126" s="8" t="str">
        <f>INDEX('Summary by Assessment'!$C$5:$C$101,MATCH(C126,'Summary by Assessment'!$B$5:$B$101,0))</f>
        <v>Perth</v>
      </c>
      <c r="E126" s="9" t="s">
        <v>81</v>
      </c>
      <c r="F126" s="9" t="s">
        <v>50</v>
      </c>
      <c r="G126" s="9" t="s">
        <v>51</v>
      </c>
      <c r="H126" s="7" t="s">
        <v>52</v>
      </c>
      <c r="I126" s="7" t="s">
        <v>92</v>
      </c>
      <c r="J126" s="9" t="s">
        <v>626</v>
      </c>
      <c r="K126" s="9" t="s">
        <v>83</v>
      </c>
      <c r="L126" s="9" t="s">
        <v>627</v>
      </c>
      <c r="M126" s="10">
        <v>3</v>
      </c>
      <c r="N126" s="10">
        <v>3</v>
      </c>
      <c r="O126" s="7">
        <f t="shared" si="10"/>
        <v>9</v>
      </c>
      <c r="P126" s="7" t="str">
        <f>INDEX('Scales &amp; Matrix'!$B$13:$F$17,6-N126,M126)</f>
        <v>Moderate</v>
      </c>
      <c r="Q126" s="9" t="s">
        <v>628</v>
      </c>
      <c r="R126" s="10">
        <v>2</v>
      </c>
      <c r="S126" s="10">
        <v>3</v>
      </c>
      <c r="T126" s="7">
        <f t="shared" si="11"/>
        <v>6</v>
      </c>
      <c r="U126" s="7" t="str">
        <f>INDEX('Scales &amp; Matrix'!$B$13:$F$17,6-S126,R126)</f>
        <v>Moderate</v>
      </c>
      <c r="V126" s="11">
        <f t="shared" si="12"/>
        <v>3</v>
      </c>
      <c r="W126" s="12">
        <f t="shared" si="13"/>
        <v>0.33333333333333331</v>
      </c>
      <c r="X126" s="9" t="s">
        <v>67</v>
      </c>
      <c r="Y126" s="7" t="s">
        <v>76</v>
      </c>
      <c r="Z126" s="7" t="s">
        <v>311</v>
      </c>
      <c r="AA126" s="9" t="str">
        <f t="shared" si="14"/>
        <v/>
      </c>
      <c r="AB126" s="13">
        <f t="shared" si="15"/>
        <v>6099874</v>
      </c>
      <c r="AC126" s="13">
        <f t="shared" si="16"/>
        <v>6099874</v>
      </c>
      <c r="AD126" s="13">
        <f t="shared" si="17"/>
        <v>0</v>
      </c>
    </row>
    <row r="127" spans="1:30" ht="89.25" x14ac:dyDescent="0.25">
      <c r="A127" s="7">
        <f t="shared" si="9"/>
        <v>84</v>
      </c>
      <c r="B127" s="7" t="s">
        <v>657</v>
      </c>
      <c r="C127" s="7" t="s">
        <v>555</v>
      </c>
      <c r="D127" s="8" t="str">
        <f>INDEX('Summary by Assessment'!$C$5:$C$101,MATCH(C127,'Summary by Assessment'!$B$5:$B$101,0))</f>
        <v>Perth</v>
      </c>
      <c r="E127" s="9" t="s">
        <v>548</v>
      </c>
      <c r="F127" s="9" t="s">
        <v>232</v>
      </c>
      <c r="G127" s="9" t="s">
        <v>51</v>
      </c>
      <c r="H127" s="7" t="s">
        <v>549</v>
      </c>
      <c r="I127" s="7" t="s">
        <v>92</v>
      </c>
      <c r="J127" s="9" t="s">
        <v>630</v>
      </c>
      <c r="K127" s="9" t="s">
        <v>631</v>
      </c>
      <c r="L127" s="9" t="s">
        <v>632</v>
      </c>
      <c r="M127" s="10">
        <v>3</v>
      </c>
      <c r="N127" s="10">
        <v>3</v>
      </c>
      <c r="O127" s="7">
        <f t="shared" si="10"/>
        <v>9</v>
      </c>
      <c r="P127" s="7" t="str">
        <f>INDEX('Scales &amp; Matrix'!$B$13:$F$17,6-N127,M127)</f>
        <v>Moderate</v>
      </c>
      <c r="Q127" s="9" t="s">
        <v>633</v>
      </c>
      <c r="R127" s="10">
        <v>2</v>
      </c>
      <c r="S127" s="10">
        <v>3</v>
      </c>
      <c r="T127" s="7">
        <f t="shared" si="11"/>
        <v>6</v>
      </c>
      <c r="U127" s="7" t="str">
        <f>INDEX('Scales &amp; Matrix'!$B$13:$F$17,6-S127,R127)</f>
        <v>Moderate</v>
      </c>
      <c r="V127" s="11">
        <f t="shared" si="12"/>
        <v>3</v>
      </c>
      <c r="W127" s="12">
        <f t="shared" si="13"/>
        <v>0.33333333333333331</v>
      </c>
      <c r="X127" s="9" t="s">
        <v>97</v>
      </c>
      <c r="Y127" s="7" t="s">
        <v>76</v>
      </c>
      <c r="Z127" s="7" t="s">
        <v>311</v>
      </c>
      <c r="AA127" s="9" t="str">
        <f t="shared" si="14"/>
        <v/>
      </c>
      <c r="AB127" s="13">
        <f t="shared" si="15"/>
        <v>6099873</v>
      </c>
      <c r="AC127" s="13">
        <f t="shared" si="16"/>
        <v>6099873</v>
      </c>
      <c r="AD127" s="13">
        <f t="shared" si="17"/>
        <v>0</v>
      </c>
    </row>
    <row r="128" spans="1:30" ht="51" x14ac:dyDescent="0.25">
      <c r="A128" s="7">
        <f t="shared" si="9"/>
        <v>84</v>
      </c>
      <c r="B128" s="7" t="s">
        <v>658</v>
      </c>
      <c r="C128" s="7" t="s">
        <v>659</v>
      </c>
      <c r="D128" s="8" t="str">
        <f>INDEX('Summary by Assessment'!$C$5:$C$101,MATCH(C128,'Summary by Assessment'!$B$5:$B$101,0))</f>
        <v>Perth</v>
      </c>
      <c r="E128" s="9" t="s">
        <v>660</v>
      </c>
      <c r="F128" s="9" t="s">
        <v>36</v>
      </c>
      <c r="G128" s="9" t="s">
        <v>661</v>
      </c>
      <c r="H128" s="7" t="s">
        <v>38</v>
      </c>
      <c r="I128" s="7" t="s">
        <v>39</v>
      </c>
      <c r="J128" s="9" t="s">
        <v>662</v>
      </c>
      <c r="K128" s="9" t="s">
        <v>94</v>
      </c>
      <c r="L128" s="9" t="s">
        <v>663</v>
      </c>
      <c r="M128" s="10">
        <v>3</v>
      </c>
      <c r="N128" s="10">
        <v>3</v>
      </c>
      <c r="O128" s="7">
        <f t="shared" si="10"/>
        <v>9</v>
      </c>
      <c r="P128" s="7" t="str">
        <f>INDEX('Scales &amp; Matrix'!$B$13:$F$17,6-N128,M128)</f>
        <v>Moderate</v>
      </c>
      <c r="Q128" s="9" t="s">
        <v>664</v>
      </c>
      <c r="R128" s="10">
        <v>2</v>
      </c>
      <c r="S128" s="10">
        <v>3</v>
      </c>
      <c r="T128" s="7">
        <f t="shared" si="11"/>
        <v>6</v>
      </c>
      <c r="U128" s="7" t="str">
        <f>INDEX('Scales &amp; Matrix'!$B$13:$F$17,6-S128,R128)</f>
        <v>Moderate</v>
      </c>
      <c r="V128" s="11">
        <f t="shared" si="12"/>
        <v>3</v>
      </c>
      <c r="W128" s="12">
        <f t="shared" si="13"/>
        <v>0.33333333333333331</v>
      </c>
      <c r="X128" s="9" t="s">
        <v>665</v>
      </c>
      <c r="Y128" s="7" t="s">
        <v>76</v>
      </c>
      <c r="Z128" s="7" t="s">
        <v>311</v>
      </c>
      <c r="AA128" s="9" t="str">
        <f t="shared" si="14"/>
        <v/>
      </c>
      <c r="AB128" s="13">
        <f t="shared" si="15"/>
        <v>6099872</v>
      </c>
      <c r="AC128" s="13">
        <f t="shared" si="16"/>
        <v>6099872</v>
      </c>
      <c r="AD128" s="13">
        <f t="shared" si="17"/>
        <v>0</v>
      </c>
    </row>
    <row r="129" spans="1:30" ht="63.75" x14ac:dyDescent="0.25">
      <c r="A129" s="7">
        <f t="shared" si="9"/>
        <v>84</v>
      </c>
      <c r="B129" s="7" t="s">
        <v>666</v>
      </c>
      <c r="C129" s="7" t="s">
        <v>151</v>
      </c>
      <c r="D129" s="8" t="str">
        <f>INDEX('Summary by Assessment'!$C$5:$C$101,MATCH(C129,'Summary by Assessment'!$B$5:$B$101,0))</f>
        <v>Perth</v>
      </c>
      <c r="E129" s="9" t="s">
        <v>145</v>
      </c>
      <c r="F129" s="9" t="s">
        <v>50</v>
      </c>
      <c r="G129" s="9" t="s">
        <v>51</v>
      </c>
      <c r="H129" s="7" t="s">
        <v>52</v>
      </c>
      <c r="I129" s="7" t="s">
        <v>53</v>
      </c>
      <c r="J129" s="9" t="s">
        <v>649</v>
      </c>
      <c r="K129" s="9" t="s">
        <v>73</v>
      </c>
      <c r="L129" s="9" t="s">
        <v>650</v>
      </c>
      <c r="M129" s="10">
        <v>3</v>
      </c>
      <c r="N129" s="10">
        <v>3</v>
      </c>
      <c r="O129" s="7">
        <f t="shared" si="10"/>
        <v>9</v>
      </c>
      <c r="P129" s="7" t="str">
        <f>INDEX('Scales &amp; Matrix'!$B$13:$F$17,6-N129,M129)</f>
        <v>Moderate</v>
      </c>
      <c r="Q129" s="9" t="s">
        <v>651</v>
      </c>
      <c r="R129" s="10">
        <v>2</v>
      </c>
      <c r="S129" s="10">
        <v>3</v>
      </c>
      <c r="T129" s="7">
        <f t="shared" si="11"/>
        <v>6</v>
      </c>
      <c r="U129" s="7" t="str">
        <f>INDEX('Scales &amp; Matrix'!$B$13:$F$17,6-S129,R129)</f>
        <v>Moderate</v>
      </c>
      <c r="V129" s="11">
        <f t="shared" si="12"/>
        <v>3</v>
      </c>
      <c r="W129" s="12">
        <f t="shared" si="13"/>
        <v>0.33333333333333331</v>
      </c>
      <c r="X129" s="9" t="s">
        <v>67</v>
      </c>
      <c r="Y129" s="7" t="s">
        <v>76</v>
      </c>
      <c r="Z129" s="7" t="s">
        <v>311</v>
      </c>
      <c r="AA129" s="9" t="str">
        <f t="shared" si="14"/>
        <v/>
      </c>
      <c r="AB129" s="13">
        <f t="shared" si="15"/>
        <v>6099871</v>
      </c>
      <c r="AC129" s="13">
        <f t="shared" si="16"/>
        <v>6099871</v>
      </c>
      <c r="AD129" s="13">
        <f t="shared" si="17"/>
        <v>0</v>
      </c>
    </row>
    <row r="130" spans="1:30" ht="51" x14ac:dyDescent="0.25">
      <c r="A130" s="7">
        <f t="shared" si="9"/>
        <v>84</v>
      </c>
      <c r="B130" s="7" t="s">
        <v>667</v>
      </c>
      <c r="C130" s="7" t="s">
        <v>481</v>
      </c>
      <c r="D130" s="8" t="str">
        <f>INDEX('Summary by Assessment'!$C$5:$C$101,MATCH(C130,'Summary by Assessment'!$B$5:$B$101,0))</f>
        <v>Perth</v>
      </c>
      <c r="E130" s="9" t="s">
        <v>475</v>
      </c>
      <c r="F130" s="9" t="s">
        <v>36</v>
      </c>
      <c r="G130" s="9" t="s">
        <v>51</v>
      </c>
      <c r="H130" s="7" t="s">
        <v>52</v>
      </c>
      <c r="I130" s="7" t="s">
        <v>92</v>
      </c>
      <c r="J130" s="9" t="s">
        <v>653</v>
      </c>
      <c r="K130" s="9" t="s">
        <v>477</v>
      </c>
      <c r="L130" s="9" t="s">
        <v>654</v>
      </c>
      <c r="M130" s="10">
        <v>3</v>
      </c>
      <c r="N130" s="10">
        <v>3</v>
      </c>
      <c r="O130" s="7">
        <f t="shared" si="10"/>
        <v>9</v>
      </c>
      <c r="P130" s="7" t="str">
        <f>INDEX('Scales &amp; Matrix'!$B$13:$F$17,6-N130,M130)</f>
        <v>Moderate</v>
      </c>
      <c r="Q130" s="9" t="s">
        <v>655</v>
      </c>
      <c r="R130" s="10">
        <v>2</v>
      </c>
      <c r="S130" s="10">
        <v>3</v>
      </c>
      <c r="T130" s="7">
        <f t="shared" si="11"/>
        <v>6</v>
      </c>
      <c r="U130" s="7" t="str">
        <f>INDEX('Scales &amp; Matrix'!$B$13:$F$17,6-S130,R130)</f>
        <v>Moderate</v>
      </c>
      <c r="V130" s="11">
        <f t="shared" si="12"/>
        <v>3</v>
      </c>
      <c r="W130" s="12">
        <f t="shared" si="13"/>
        <v>0.33333333333333331</v>
      </c>
      <c r="X130" s="9" t="s">
        <v>166</v>
      </c>
      <c r="Y130" s="7" t="s">
        <v>76</v>
      </c>
      <c r="Z130" s="7" t="s">
        <v>311</v>
      </c>
      <c r="AA130" s="9" t="str">
        <f t="shared" si="14"/>
        <v/>
      </c>
      <c r="AB130" s="13">
        <f t="shared" si="15"/>
        <v>6099870</v>
      </c>
      <c r="AC130" s="13">
        <f t="shared" si="16"/>
        <v>6099870</v>
      </c>
      <c r="AD130" s="13">
        <f t="shared" si="17"/>
        <v>0</v>
      </c>
    </row>
    <row r="131" spans="1:30" ht="38.25" x14ac:dyDescent="0.25">
      <c r="A131" s="7">
        <f t="shared" si="9"/>
        <v>84</v>
      </c>
      <c r="B131" s="7" t="s">
        <v>668</v>
      </c>
      <c r="C131" s="7" t="s">
        <v>527</v>
      </c>
      <c r="D131" s="8" t="str">
        <f>INDEX('Summary by Assessment'!$C$5:$C$101,MATCH(C131,'Summary by Assessment'!$B$5:$B$101,0))</f>
        <v>Fremantle</v>
      </c>
      <c r="E131" s="9" t="s">
        <v>528</v>
      </c>
      <c r="F131" s="9" t="s">
        <v>36</v>
      </c>
      <c r="G131" s="9" t="s">
        <v>51</v>
      </c>
      <c r="H131" s="7" t="s">
        <v>91</v>
      </c>
      <c r="I131" s="7" t="s">
        <v>92</v>
      </c>
      <c r="J131" s="9" t="s">
        <v>669</v>
      </c>
      <c r="K131" s="9" t="s">
        <v>670</v>
      </c>
      <c r="L131" s="9" t="s">
        <v>671</v>
      </c>
      <c r="M131" s="10">
        <v>4</v>
      </c>
      <c r="N131" s="10">
        <v>2</v>
      </c>
      <c r="O131" s="7">
        <f t="shared" si="10"/>
        <v>8</v>
      </c>
      <c r="P131" s="7" t="str">
        <f>INDEX('Scales &amp; Matrix'!$B$13:$F$17,6-N131,M131)</f>
        <v>Moderate</v>
      </c>
      <c r="Q131" s="9" t="s">
        <v>672</v>
      </c>
      <c r="R131" s="10">
        <v>3</v>
      </c>
      <c r="S131" s="10">
        <v>2</v>
      </c>
      <c r="T131" s="7">
        <f t="shared" si="11"/>
        <v>6</v>
      </c>
      <c r="U131" s="7" t="str">
        <f>INDEX('Scales &amp; Matrix'!$B$13:$F$17,6-S131,R131)</f>
        <v>Moderate</v>
      </c>
      <c r="V131" s="11">
        <f t="shared" si="12"/>
        <v>2</v>
      </c>
      <c r="W131" s="12">
        <f t="shared" si="13"/>
        <v>0.25</v>
      </c>
      <c r="X131" s="9" t="s">
        <v>166</v>
      </c>
      <c r="Y131" s="7" t="s">
        <v>316</v>
      </c>
      <c r="Z131" s="7" t="s">
        <v>311</v>
      </c>
      <c r="AA131" s="9" t="str">
        <f t="shared" si="14"/>
        <v/>
      </c>
      <c r="AB131" s="13">
        <f t="shared" si="15"/>
        <v>6089869</v>
      </c>
      <c r="AC131" s="13">
        <f t="shared" si="16"/>
        <v>0</v>
      </c>
      <c r="AD131" s="13">
        <f t="shared" si="17"/>
        <v>6089869</v>
      </c>
    </row>
    <row r="132" spans="1:30" ht="38.25" x14ac:dyDescent="0.25">
      <c r="A132" s="7">
        <f t="shared" si="9"/>
        <v>84</v>
      </c>
      <c r="B132" s="7" t="s">
        <v>673</v>
      </c>
      <c r="C132" s="7" t="s">
        <v>474</v>
      </c>
      <c r="D132" s="8" t="str">
        <f>INDEX('Summary by Assessment'!$C$5:$C$101,MATCH(C132,'Summary by Assessment'!$B$5:$B$101,0))</f>
        <v>Fremantle</v>
      </c>
      <c r="E132" s="9" t="s">
        <v>475</v>
      </c>
      <c r="F132" s="9" t="s">
        <v>36</v>
      </c>
      <c r="G132" s="9" t="s">
        <v>51</v>
      </c>
      <c r="H132" s="7" t="s">
        <v>91</v>
      </c>
      <c r="I132" s="7" t="s">
        <v>218</v>
      </c>
      <c r="J132" s="9" t="s">
        <v>674</v>
      </c>
      <c r="K132" s="9" t="s">
        <v>453</v>
      </c>
      <c r="L132" s="9" t="s">
        <v>675</v>
      </c>
      <c r="M132" s="10">
        <v>4</v>
      </c>
      <c r="N132" s="10">
        <v>2</v>
      </c>
      <c r="O132" s="7">
        <f t="shared" si="10"/>
        <v>8</v>
      </c>
      <c r="P132" s="7" t="str">
        <f>INDEX('Scales &amp; Matrix'!$B$13:$F$17,6-N132,M132)</f>
        <v>Moderate</v>
      </c>
      <c r="Q132" s="9" t="s">
        <v>676</v>
      </c>
      <c r="R132" s="10">
        <v>3</v>
      </c>
      <c r="S132" s="10">
        <v>2</v>
      </c>
      <c r="T132" s="7">
        <f t="shared" si="11"/>
        <v>6</v>
      </c>
      <c r="U132" s="7" t="str">
        <f>INDEX('Scales &amp; Matrix'!$B$13:$F$17,6-S132,R132)</f>
        <v>Moderate</v>
      </c>
      <c r="V132" s="11">
        <f t="shared" si="12"/>
        <v>2</v>
      </c>
      <c r="W132" s="12">
        <f t="shared" si="13"/>
        <v>0.25</v>
      </c>
      <c r="X132" s="9" t="s">
        <v>166</v>
      </c>
      <c r="Y132" s="7" t="s">
        <v>316</v>
      </c>
      <c r="Z132" s="7" t="s">
        <v>311</v>
      </c>
      <c r="AA132" s="9" t="str">
        <f t="shared" si="14"/>
        <v/>
      </c>
      <c r="AB132" s="13">
        <f t="shared" si="15"/>
        <v>6089868</v>
      </c>
      <c r="AC132" s="13">
        <f t="shared" si="16"/>
        <v>0</v>
      </c>
      <c r="AD132" s="13">
        <f t="shared" si="17"/>
        <v>6089868</v>
      </c>
    </row>
    <row r="133" spans="1:30" ht="38.25" x14ac:dyDescent="0.25">
      <c r="A133" s="7">
        <f t="shared" ref="A133:A196" si="18">COUNTIF($T$5:$T$297,"&gt;"&amp;T133)+1</f>
        <v>84</v>
      </c>
      <c r="B133" s="7" t="s">
        <v>677</v>
      </c>
      <c r="C133" s="7" t="s">
        <v>481</v>
      </c>
      <c r="D133" s="8" t="str">
        <f>INDEX('Summary by Assessment'!$C$5:$C$101,MATCH(C133,'Summary by Assessment'!$B$5:$B$101,0))</f>
        <v>Perth</v>
      </c>
      <c r="E133" s="9" t="s">
        <v>475</v>
      </c>
      <c r="F133" s="9" t="s">
        <v>36</v>
      </c>
      <c r="G133" s="9" t="s">
        <v>51</v>
      </c>
      <c r="H133" s="7" t="s">
        <v>52</v>
      </c>
      <c r="I133" s="7" t="s">
        <v>218</v>
      </c>
      <c r="J133" s="9" t="s">
        <v>674</v>
      </c>
      <c r="K133" s="9" t="s">
        <v>453</v>
      </c>
      <c r="L133" s="9" t="s">
        <v>675</v>
      </c>
      <c r="M133" s="10">
        <v>4</v>
      </c>
      <c r="N133" s="10">
        <v>2</v>
      </c>
      <c r="O133" s="7">
        <f t="shared" ref="O133:O196" si="19">M133*N133</f>
        <v>8</v>
      </c>
      <c r="P133" s="7" t="str">
        <f>INDEX('Scales &amp; Matrix'!$B$13:$F$17,6-N133,M133)</f>
        <v>Moderate</v>
      </c>
      <c r="Q133" s="9" t="s">
        <v>676</v>
      </c>
      <c r="R133" s="10">
        <v>3</v>
      </c>
      <c r="S133" s="10">
        <v>2</v>
      </c>
      <c r="T133" s="7">
        <f t="shared" ref="T133:T196" si="20">R133*S133</f>
        <v>6</v>
      </c>
      <c r="U133" s="7" t="str">
        <f>INDEX('Scales &amp; Matrix'!$B$13:$F$17,6-S133,R133)</f>
        <v>Moderate</v>
      </c>
      <c r="V133" s="11">
        <f t="shared" ref="V133:V196" si="21">O133-T133</f>
        <v>2</v>
      </c>
      <c r="W133" s="12">
        <f t="shared" ref="W133:W196" si="22">IF(O133=0,0,V133/O133)</f>
        <v>0.25</v>
      </c>
      <c r="X133" s="9" t="s">
        <v>166</v>
      </c>
      <c r="Y133" s="7" t="s">
        <v>316</v>
      </c>
      <c r="Z133" s="7" t="s">
        <v>311</v>
      </c>
      <c r="AA133" s="9" t="str">
        <f t="shared" ref="AA133:AA196" si="23">TRIM(IF(T133&gt;O133,"Residual higher than inherent - check. ","")&amp;IF(O133&lt;&gt;IFERROR(VALUE(TRIM(MID(Y133,FIND(" - ",Y133)+3,3))),0),"Inherent score differs from source form. ","")&amp;IF(T133&lt;&gt;IFERROR(VALUE(TRIM(MID(Z133,FIND(" - ",Z133)+3,3))),0),"Residual score differs from source form. ","")&amp;IF(LOWER(IFERROR(TRIM(LEFT(Z133,FIND(" - ",Z133)-1)),""))&lt;&gt;LOWER(U133),"Source residual rating shown as "&amp;IFERROR(TRIM(LEFT(Z133,FIND(" - ",Z133)-1)),"")&amp;". ","")&amp;IF(LOWER(IFERROR(TRIM(LEFT(Y133,FIND(" - ",Y133)-1)),""))&lt;&gt;LOWER(P133),"Source inherent rating shown as "&amp;IFERROR(TRIM(LEFT(Y133,FIND(" - ",Y133)-1)),"")&amp;". ","")&amp;IF(LEN(TRIM(L133))&lt;6,"Placeholder - no hazard entered on form. ",""))</f>
        <v/>
      </c>
      <c r="AB133" s="13">
        <f t="shared" ref="AB133:AB196" si="24">T133*1000000+O133*10000+(10000-ROW())</f>
        <v>6089867</v>
      </c>
      <c r="AC133" s="13">
        <f t="shared" ref="AC133:AC196" si="25">IF(D133="Perth",AB133,0)</f>
        <v>6089867</v>
      </c>
      <c r="AD133" s="13">
        <f t="shared" ref="AD133:AD196" si="26">IF(D133="Fremantle",AB133,0)</f>
        <v>0</v>
      </c>
    </row>
    <row r="134" spans="1:30" ht="51" x14ac:dyDescent="0.25">
      <c r="A134" s="7">
        <f t="shared" si="18"/>
        <v>84</v>
      </c>
      <c r="B134" s="7" t="s">
        <v>678</v>
      </c>
      <c r="C134" s="7" t="s">
        <v>417</v>
      </c>
      <c r="D134" s="8" t="str">
        <f>INDEX('Summary by Assessment'!$C$5:$C$101,MATCH(C134,'Summary by Assessment'!$B$5:$B$101,0))</f>
        <v>Fremantle</v>
      </c>
      <c r="E134" s="9" t="s">
        <v>418</v>
      </c>
      <c r="F134" s="9" t="s">
        <v>50</v>
      </c>
      <c r="G134" s="9" t="s">
        <v>51</v>
      </c>
      <c r="H134" s="7" t="s">
        <v>71</v>
      </c>
      <c r="I134" s="7" t="s">
        <v>39</v>
      </c>
      <c r="J134" s="9" t="s">
        <v>679</v>
      </c>
      <c r="K134" s="9" t="s">
        <v>680</v>
      </c>
      <c r="L134" s="9" t="s">
        <v>681</v>
      </c>
      <c r="M134" s="10">
        <v>2</v>
      </c>
      <c r="N134" s="10">
        <v>4</v>
      </c>
      <c r="O134" s="7">
        <f t="shared" si="19"/>
        <v>8</v>
      </c>
      <c r="P134" s="7" t="str">
        <f>INDEX('Scales &amp; Matrix'!$B$13:$F$17,6-N134,M134)</f>
        <v>Moderate</v>
      </c>
      <c r="Q134" s="9" t="s">
        <v>682</v>
      </c>
      <c r="R134" s="10">
        <v>2</v>
      </c>
      <c r="S134" s="10">
        <v>3</v>
      </c>
      <c r="T134" s="7">
        <f t="shared" si="20"/>
        <v>6</v>
      </c>
      <c r="U134" s="7" t="str">
        <f>INDEX('Scales &amp; Matrix'!$B$13:$F$17,6-S134,R134)</f>
        <v>Moderate</v>
      </c>
      <c r="V134" s="11">
        <f t="shared" si="21"/>
        <v>2</v>
      </c>
      <c r="W134" s="12">
        <f t="shared" si="22"/>
        <v>0.25</v>
      </c>
      <c r="X134" s="9" t="s">
        <v>683</v>
      </c>
      <c r="Y134" s="7" t="s">
        <v>316</v>
      </c>
      <c r="Z134" s="7" t="s">
        <v>311</v>
      </c>
      <c r="AA134" s="9" t="str">
        <f t="shared" si="23"/>
        <v/>
      </c>
      <c r="AB134" s="13">
        <f t="shared" si="24"/>
        <v>6089866</v>
      </c>
      <c r="AC134" s="13">
        <f t="shared" si="25"/>
        <v>0</v>
      </c>
      <c r="AD134" s="13">
        <f t="shared" si="26"/>
        <v>6089866</v>
      </c>
    </row>
    <row r="135" spans="1:30" ht="51" x14ac:dyDescent="0.25">
      <c r="A135" s="7">
        <f t="shared" si="18"/>
        <v>84</v>
      </c>
      <c r="B135" s="7" t="s">
        <v>684</v>
      </c>
      <c r="C135" s="7" t="s">
        <v>168</v>
      </c>
      <c r="D135" s="8" t="str">
        <f>INDEX('Summary by Assessment'!$C$5:$C$101,MATCH(C135,'Summary by Assessment'!$B$5:$B$101,0))</f>
        <v>Fremantle</v>
      </c>
      <c r="E135" s="9" t="s">
        <v>169</v>
      </c>
      <c r="F135" s="9" t="s">
        <v>170</v>
      </c>
      <c r="G135" s="9" t="s">
        <v>51</v>
      </c>
      <c r="H135" s="7" t="s">
        <v>171</v>
      </c>
      <c r="I135" s="7" t="s">
        <v>62</v>
      </c>
      <c r="J135" s="9" t="s">
        <v>685</v>
      </c>
      <c r="K135" s="9" t="s">
        <v>686</v>
      </c>
      <c r="L135" s="9" t="s">
        <v>687</v>
      </c>
      <c r="M135" s="10">
        <v>2</v>
      </c>
      <c r="N135" s="10">
        <v>4</v>
      </c>
      <c r="O135" s="7">
        <f t="shared" si="19"/>
        <v>8</v>
      </c>
      <c r="P135" s="7" t="str">
        <f>INDEX('Scales &amp; Matrix'!$B$13:$F$17,6-N135,M135)</f>
        <v>Moderate</v>
      </c>
      <c r="Q135" s="9" t="s">
        <v>688</v>
      </c>
      <c r="R135" s="10">
        <v>2</v>
      </c>
      <c r="S135" s="10">
        <v>3</v>
      </c>
      <c r="T135" s="7">
        <f t="shared" si="20"/>
        <v>6</v>
      </c>
      <c r="U135" s="7" t="str">
        <f>INDEX('Scales &amp; Matrix'!$B$13:$F$17,6-S135,R135)</f>
        <v>Moderate</v>
      </c>
      <c r="V135" s="11">
        <f t="shared" si="21"/>
        <v>2</v>
      </c>
      <c r="W135" s="12">
        <f t="shared" si="22"/>
        <v>0.25</v>
      </c>
      <c r="X135" s="9" t="s">
        <v>176</v>
      </c>
      <c r="Y135" s="7" t="s">
        <v>316</v>
      </c>
      <c r="Z135" s="7" t="s">
        <v>311</v>
      </c>
      <c r="AA135" s="9" t="str">
        <f t="shared" si="23"/>
        <v/>
      </c>
      <c r="AB135" s="13">
        <f t="shared" si="24"/>
        <v>6089865</v>
      </c>
      <c r="AC135" s="13">
        <f t="shared" si="25"/>
        <v>0</v>
      </c>
      <c r="AD135" s="13">
        <f t="shared" si="26"/>
        <v>6089865</v>
      </c>
    </row>
    <row r="136" spans="1:30" ht="51" x14ac:dyDescent="0.25">
      <c r="A136" s="7">
        <f t="shared" si="18"/>
        <v>84</v>
      </c>
      <c r="B136" s="7" t="s">
        <v>689</v>
      </c>
      <c r="C136" s="7" t="s">
        <v>424</v>
      </c>
      <c r="D136" s="8" t="str">
        <f>INDEX('Summary by Assessment'!$C$5:$C$101,MATCH(C136,'Summary by Assessment'!$B$5:$B$101,0))</f>
        <v>Perth</v>
      </c>
      <c r="E136" s="9" t="s">
        <v>418</v>
      </c>
      <c r="F136" s="9" t="s">
        <v>50</v>
      </c>
      <c r="G136" s="9" t="s">
        <v>51</v>
      </c>
      <c r="H136" s="7" t="s">
        <v>52</v>
      </c>
      <c r="I136" s="7" t="s">
        <v>39</v>
      </c>
      <c r="J136" s="9" t="s">
        <v>679</v>
      </c>
      <c r="K136" s="9" t="s">
        <v>680</v>
      </c>
      <c r="L136" s="9" t="s">
        <v>681</v>
      </c>
      <c r="M136" s="10">
        <v>2</v>
      </c>
      <c r="N136" s="10">
        <v>4</v>
      </c>
      <c r="O136" s="7">
        <f t="shared" si="19"/>
        <v>8</v>
      </c>
      <c r="P136" s="7" t="str">
        <f>INDEX('Scales &amp; Matrix'!$B$13:$F$17,6-N136,M136)</f>
        <v>Moderate</v>
      </c>
      <c r="Q136" s="9" t="s">
        <v>682</v>
      </c>
      <c r="R136" s="10">
        <v>2</v>
      </c>
      <c r="S136" s="10">
        <v>3</v>
      </c>
      <c r="T136" s="7">
        <f t="shared" si="20"/>
        <v>6</v>
      </c>
      <c r="U136" s="7" t="str">
        <f>INDEX('Scales &amp; Matrix'!$B$13:$F$17,6-S136,R136)</f>
        <v>Moderate</v>
      </c>
      <c r="V136" s="11">
        <f t="shared" si="21"/>
        <v>2</v>
      </c>
      <c r="W136" s="12">
        <f t="shared" si="22"/>
        <v>0.25</v>
      </c>
      <c r="X136" s="9" t="s">
        <v>683</v>
      </c>
      <c r="Y136" s="7" t="s">
        <v>316</v>
      </c>
      <c r="Z136" s="7" t="s">
        <v>311</v>
      </c>
      <c r="AA136" s="9" t="str">
        <f t="shared" si="23"/>
        <v/>
      </c>
      <c r="AB136" s="13">
        <f t="shared" si="24"/>
        <v>6089864</v>
      </c>
      <c r="AC136" s="13">
        <f t="shared" si="25"/>
        <v>6089864</v>
      </c>
      <c r="AD136" s="13">
        <f t="shared" si="26"/>
        <v>0</v>
      </c>
    </row>
    <row r="137" spans="1:30" ht="51" x14ac:dyDescent="0.25">
      <c r="A137" s="7">
        <f t="shared" si="18"/>
        <v>84</v>
      </c>
      <c r="B137" s="7" t="s">
        <v>690</v>
      </c>
      <c r="C137" s="7" t="s">
        <v>194</v>
      </c>
      <c r="D137" s="8" t="str">
        <f>INDEX('Summary by Assessment'!$C$5:$C$101,MATCH(C137,'Summary by Assessment'!$B$5:$B$101,0))</f>
        <v>Fremantle</v>
      </c>
      <c r="E137" s="9" t="s">
        <v>61</v>
      </c>
      <c r="F137" s="9" t="s">
        <v>36</v>
      </c>
      <c r="G137" s="9" t="s">
        <v>51</v>
      </c>
      <c r="H137" s="7" t="s">
        <v>71</v>
      </c>
      <c r="I137" s="7" t="s">
        <v>39</v>
      </c>
      <c r="J137" s="9" t="s">
        <v>691</v>
      </c>
      <c r="K137" s="9" t="s">
        <v>692</v>
      </c>
      <c r="L137" s="9" t="s">
        <v>693</v>
      </c>
      <c r="M137" s="10">
        <v>2</v>
      </c>
      <c r="N137" s="10">
        <v>3</v>
      </c>
      <c r="O137" s="7">
        <f t="shared" si="19"/>
        <v>6</v>
      </c>
      <c r="P137" s="7" t="str">
        <f>INDEX('Scales &amp; Matrix'!$B$13:$F$17,6-N137,M137)</f>
        <v>Moderate</v>
      </c>
      <c r="Q137" s="9" t="s">
        <v>694</v>
      </c>
      <c r="R137" s="10">
        <v>3</v>
      </c>
      <c r="S137" s="10">
        <v>2</v>
      </c>
      <c r="T137" s="7">
        <f t="shared" si="20"/>
        <v>6</v>
      </c>
      <c r="U137" s="7" t="str">
        <f>INDEX('Scales &amp; Matrix'!$B$13:$F$17,6-S137,R137)</f>
        <v>Moderate</v>
      </c>
      <c r="V137" s="11">
        <f t="shared" si="21"/>
        <v>0</v>
      </c>
      <c r="W137" s="12">
        <f t="shared" si="22"/>
        <v>0</v>
      </c>
      <c r="X137" s="9" t="s">
        <v>176</v>
      </c>
      <c r="Y137" s="7" t="s">
        <v>311</v>
      </c>
      <c r="Z137" s="7" t="s">
        <v>311</v>
      </c>
      <c r="AA137" s="9" t="str">
        <f t="shared" si="23"/>
        <v/>
      </c>
      <c r="AB137" s="13">
        <f t="shared" si="24"/>
        <v>6069863</v>
      </c>
      <c r="AC137" s="13">
        <f t="shared" si="25"/>
        <v>0</v>
      </c>
      <c r="AD137" s="13">
        <f t="shared" si="26"/>
        <v>6069863</v>
      </c>
    </row>
    <row r="138" spans="1:30" ht="51" x14ac:dyDescent="0.25">
      <c r="A138" s="7">
        <f t="shared" si="18"/>
        <v>84</v>
      </c>
      <c r="B138" s="7" t="s">
        <v>695</v>
      </c>
      <c r="C138" s="7" t="s">
        <v>511</v>
      </c>
      <c r="D138" s="8" t="str">
        <f>INDEX('Summary by Assessment'!$C$5:$C$101,MATCH(C138,'Summary by Assessment'!$B$5:$B$101,0))</f>
        <v>Perth</v>
      </c>
      <c r="E138" s="9" t="s">
        <v>512</v>
      </c>
      <c r="F138" s="9" t="s">
        <v>232</v>
      </c>
      <c r="G138" s="9" t="s">
        <v>180</v>
      </c>
      <c r="H138" s="7" t="s">
        <v>357</v>
      </c>
      <c r="I138" s="7" t="s">
        <v>53</v>
      </c>
      <c r="J138" s="9" t="s">
        <v>513</v>
      </c>
      <c r="K138" s="9" t="s">
        <v>131</v>
      </c>
      <c r="L138" s="9" t="s">
        <v>514</v>
      </c>
      <c r="M138" s="10">
        <v>3</v>
      </c>
      <c r="N138" s="10">
        <v>2</v>
      </c>
      <c r="O138" s="7">
        <f t="shared" si="19"/>
        <v>6</v>
      </c>
      <c r="P138" s="7" t="str">
        <f>INDEX('Scales &amp; Matrix'!$B$13:$F$17,6-N138,M138)</f>
        <v>Moderate</v>
      </c>
      <c r="Q138" s="9" t="s">
        <v>696</v>
      </c>
      <c r="R138" s="10">
        <v>3</v>
      </c>
      <c r="S138" s="10">
        <v>2</v>
      </c>
      <c r="T138" s="7">
        <f t="shared" si="20"/>
        <v>6</v>
      </c>
      <c r="U138" s="7" t="str">
        <f>INDEX('Scales &amp; Matrix'!$B$13:$F$17,6-S138,R138)</f>
        <v>Moderate</v>
      </c>
      <c r="V138" s="11">
        <f t="shared" si="21"/>
        <v>0</v>
      </c>
      <c r="W138" s="12">
        <f t="shared" si="22"/>
        <v>0</v>
      </c>
      <c r="X138" s="9" t="s">
        <v>516</v>
      </c>
      <c r="Y138" s="7" t="s">
        <v>311</v>
      </c>
      <c r="Z138" s="7" t="s">
        <v>311</v>
      </c>
      <c r="AA138" s="9" t="str">
        <f t="shared" si="23"/>
        <v/>
      </c>
      <c r="AB138" s="13">
        <f t="shared" si="24"/>
        <v>6069862</v>
      </c>
      <c r="AC138" s="13">
        <f t="shared" si="25"/>
        <v>6069862</v>
      </c>
      <c r="AD138" s="13">
        <f t="shared" si="26"/>
        <v>0</v>
      </c>
    </row>
    <row r="139" spans="1:30" ht="51" x14ac:dyDescent="0.25">
      <c r="A139" s="7">
        <f t="shared" si="18"/>
        <v>84</v>
      </c>
      <c r="B139" s="7" t="s">
        <v>697</v>
      </c>
      <c r="C139" s="7" t="s">
        <v>60</v>
      </c>
      <c r="D139" s="8" t="str">
        <f>INDEX('Summary by Assessment'!$C$5:$C$101,MATCH(C139,'Summary by Assessment'!$B$5:$B$101,0))</f>
        <v>Perth</v>
      </c>
      <c r="E139" s="9" t="s">
        <v>61</v>
      </c>
      <c r="F139" s="9" t="s">
        <v>36</v>
      </c>
      <c r="G139" s="9" t="s">
        <v>51</v>
      </c>
      <c r="H139" s="7" t="s">
        <v>52</v>
      </c>
      <c r="I139" s="7" t="s">
        <v>39</v>
      </c>
      <c r="J139" s="9" t="s">
        <v>691</v>
      </c>
      <c r="K139" s="9" t="s">
        <v>692</v>
      </c>
      <c r="L139" s="9" t="s">
        <v>693</v>
      </c>
      <c r="M139" s="10">
        <v>2</v>
      </c>
      <c r="N139" s="10">
        <v>3</v>
      </c>
      <c r="O139" s="7">
        <f t="shared" si="19"/>
        <v>6</v>
      </c>
      <c r="P139" s="7" t="str">
        <f>INDEX('Scales &amp; Matrix'!$B$13:$F$17,6-N139,M139)</f>
        <v>Moderate</v>
      </c>
      <c r="Q139" s="9" t="s">
        <v>694</v>
      </c>
      <c r="R139" s="10">
        <v>3</v>
      </c>
      <c r="S139" s="10">
        <v>2</v>
      </c>
      <c r="T139" s="7">
        <f t="shared" si="20"/>
        <v>6</v>
      </c>
      <c r="U139" s="7" t="str">
        <f>INDEX('Scales &amp; Matrix'!$B$13:$F$17,6-S139,R139)</f>
        <v>Moderate</v>
      </c>
      <c r="V139" s="11">
        <f t="shared" si="21"/>
        <v>0</v>
      </c>
      <c r="W139" s="12">
        <f t="shared" si="22"/>
        <v>0</v>
      </c>
      <c r="X139" s="9" t="s">
        <v>176</v>
      </c>
      <c r="Y139" s="7" t="s">
        <v>311</v>
      </c>
      <c r="Z139" s="7" t="s">
        <v>311</v>
      </c>
      <c r="AA139" s="9" t="str">
        <f t="shared" si="23"/>
        <v/>
      </c>
      <c r="AB139" s="13">
        <f t="shared" si="24"/>
        <v>6069861</v>
      </c>
      <c r="AC139" s="13">
        <f t="shared" si="25"/>
        <v>6069861</v>
      </c>
      <c r="AD139" s="13">
        <f t="shared" si="26"/>
        <v>0</v>
      </c>
    </row>
    <row r="140" spans="1:30" ht="38.25" x14ac:dyDescent="0.25">
      <c r="A140" s="7">
        <f t="shared" si="18"/>
        <v>84</v>
      </c>
      <c r="B140" s="7" t="s">
        <v>698</v>
      </c>
      <c r="C140" s="7" t="s">
        <v>426</v>
      </c>
      <c r="D140" s="8" t="str">
        <f>INDEX('Summary by Assessment'!$C$5:$C$101,MATCH(C140,'Summary by Assessment'!$B$5:$B$101,0))</f>
        <v>Perth</v>
      </c>
      <c r="E140" s="9" t="s">
        <v>427</v>
      </c>
      <c r="F140" s="9" t="s">
        <v>155</v>
      </c>
      <c r="G140" s="9" t="s">
        <v>180</v>
      </c>
      <c r="H140" s="7" t="s">
        <v>428</v>
      </c>
      <c r="I140" s="7" t="s">
        <v>39</v>
      </c>
      <c r="J140" s="9" t="s">
        <v>699</v>
      </c>
      <c r="K140" s="9" t="s">
        <v>307</v>
      </c>
      <c r="L140" s="9" t="s">
        <v>700</v>
      </c>
      <c r="M140" s="10">
        <v>2</v>
      </c>
      <c r="N140" s="10">
        <v>3</v>
      </c>
      <c r="O140" s="7">
        <f t="shared" si="19"/>
        <v>6</v>
      </c>
      <c r="P140" s="7" t="str">
        <f>INDEX('Scales &amp; Matrix'!$B$13:$F$17,6-N140,M140)</f>
        <v>Moderate</v>
      </c>
      <c r="Q140" s="9" t="s">
        <v>701</v>
      </c>
      <c r="R140" s="10">
        <v>3</v>
      </c>
      <c r="S140" s="10">
        <v>2</v>
      </c>
      <c r="T140" s="7">
        <f t="shared" si="20"/>
        <v>6</v>
      </c>
      <c r="U140" s="7" t="str">
        <f>INDEX('Scales &amp; Matrix'!$B$13:$F$17,6-S140,R140)</f>
        <v>Moderate</v>
      </c>
      <c r="V140" s="11">
        <f t="shared" si="21"/>
        <v>0</v>
      </c>
      <c r="W140" s="12">
        <f t="shared" si="22"/>
        <v>0</v>
      </c>
      <c r="X140" s="9" t="s">
        <v>432</v>
      </c>
      <c r="Y140" s="7" t="s">
        <v>311</v>
      </c>
      <c r="Z140" s="7" t="s">
        <v>311</v>
      </c>
      <c r="AA140" s="9" t="str">
        <f t="shared" si="23"/>
        <v/>
      </c>
      <c r="AB140" s="13">
        <f t="shared" si="24"/>
        <v>6069860</v>
      </c>
      <c r="AC140" s="13">
        <f t="shared" si="25"/>
        <v>6069860</v>
      </c>
      <c r="AD140" s="13">
        <f t="shared" si="26"/>
        <v>0</v>
      </c>
    </row>
    <row r="141" spans="1:30" ht="38.25" x14ac:dyDescent="0.25">
      <c r="A141" s="7">
        <f t="shared" si="18"/>
        <v>84</v>
      </c>
      <c r="B141" s="7" t="s">
        <v>702</v>
      </c>
      <c r="C141" s="7" t="s">
        <v>434</v>
      </c>
      <c r="D141" s="8" t="str">
        <f>INDEX('Summary by Assessment'!$C$5:$C$101,MATCH(C141,'Summary by Assessment'!$B$5:$B$101,0))</f>
        <v>Perth</v>
      </c>
      <c r="E141" s="9" t="s">
        <v>435</v>
      </c>
      <c r="F141" s="9" t="s">
        <v>155</v>
      </c>
      <c r="G141" s="9" t="s">
        <v>180</v>
      </c>
      <c r="H141" s="7" t="s">
        <v>91</v>
      </c>
      <c r="I141" s="7" t="s">
        <v>39</v>
      </c>
      <c r="J141" s="9" t="s">
        <v>699</v>
      </c>
      <c r="K141" s="9" t="s">
        <v>307</v>
      </c>
      <c r="L141" s="9" t="s">
        <v>700</v>
      </c>
      <c r="M141" s="10">
        <v>2</v>
      </c>
      <c r="N141" s="10">
        <v>3</v>
      </c>
      <c r="O141" s="7">
        <f t="shared" si="19"/>
        <v>6</v>
      </c>
      <c r="P141" s="7" t="str">
        <f>INDEX('Scales &amp; Matrix'!$B$13:$F$17,6-N141,M141)</f>
        <v>Moderate</v>
      </c>
      <c r="Q141" s="9" t="s">
        <v>701</v>
      </c>
      <c r="R141" s="10">
        <v>3</v>
      </c>
      <c r="S141" s="10">
        <v>2</v>
      </c>
      <c r="T141" s="7">
        <f t="shared" si="20"/>
        <v>6</v>
      </c>
      <c r="U141" s="7" t="str">
        <f>INDEX('Scales &amp; Matrix'!$B$13:$F$17,6-S141,R141)</f>
        <v>Moderate</v>
      </c>
      <c r="V141" s="11">
        <f t="shared" si="21"/>
        <v>0</v>
      </c>
      <c r="W141" s="12">
        <f t="shared" si="22"/>
        <v>0</v>
      </c>
      <c r="X141" s="9" t="s">
        <v>432</v>
      </c>
      <c r="Y141" s="7" t="s">
        <v>311</v>
      </c>
      <c r="Z141" s="7" t="s">
        <v>311</v>
      </c>
      <c r="AA141" s="9" t="str">
        <f t="shared" si="23"/>
        <v/>
      </c>
      <c r="AB141" s="13">
        <f t="shared" si="24"/>
        <v>6069859</v>
      </c>
      <c r="AC141" s="13">
        <f t="shared" si="25"/>
        <v>6069859</v>
      </c>
      <c r="AD141" s="13">
        <f t="shared" si="26"/>
        <v>0</v>
      </c>
    </row>
    <row r="142" spans="1:30" ht="63.75" x14ac:dyDescent="0.25">
      <c r="A142" s="7">
        <f t="shared" si="18"/>
        <v>84</v>
      </c>
      <c r="B142" s="7" t="s">
        <v>703</v>
      </c>
      <c r="C142" s="7" t="s">
        <v>293</v>
      </c>
      <c r="D142" s="8" t="str">
        <f>INDEX('Summary by Assessment'!$C$5:$C$101,MATCH(C142,'Summary by Assessment'!$B$5:$B$101,0))</f>
        <v>Perth</v>
      </c>
      <c r="E142" s="9" t="s">
        <v>294</v>
      </c>
      <c r="F142" s="9" t="s">
        <v>36</v>
      </c>
      <c r="G142" s="9" t="s">
        <v>295</v>
      </c>
      <c r="H142" s="7" t="s">
        <v>296</v>
      </c>
      <c r="I142" s="7" t="s">
        <v>39</v>
      </c>
      <c r="J142" s="9" t="s">
        <v>297</v>
      </c>
      <c r="K142" s="9" t="s">
        <v>298</v>
      </c>
      <c r="L142" s="9" t="s">
        <v>704</v>
      </c>
      <c r="M142" s="10">
        <v>3</v>
      </c>
      <c r="N142" s="10">
        <v>2</v>
      </c>
      <c r="O142" s="7">
        <f t="shared" si="19"/>
        <v>6</v>
      </c>
      <c r="P142" s="7" t="str">
        <f>INDEX('Scales &amp; Matrix'!$B$13:$F$17,6-N142,M142)</f>
        <v>Moderate</v>
      </c>
      <c r="Q142" s="9" t="s">
        <v>705</v>
      </c>
      <c r="R142" s="10">
        <v>3</v>
      </c>
      <c r="S142" s="10">
        <v>2</v>
      </c>
      <c r="T142" s="7">
        <f t="shared" si="20"/>
        <v>6</v>
      </c>
      <c r="U142" s="7" t="str">
        <f>INDEX('Scales &amp; Matrix'!$B$13:$F$17,6-S142,R142)</f>
        <v>Moderate</v>
      </c>
      <c r="V142" s="11">
        <f t="shared" si="21"/>
        <v>0</v>
      </c>
      <c r="W142" s="12">
        <f t="shared" si="22"/>
        <v>0</v>
      </c>
      <c r="X142" s="9" t="s">
        <v>581</v>
      </c>
      <c r="Y142" s="7" t="s">
        <v>311</v>
      </c>
      <c r="Z142" s="7" t="s">
        <v>311</v>
      </c>
      <c r="AA142" s="9" t="str">
        <f t="shared" si="23"/>
        <v/>
      </c>
      <c r="AB142" s="13">
        <f t="shared" si="24"/>
        <v>6069858</v>
      </c>
      <c r="AC142" s="13">
        <f t="shared" si="25"/>
        <v>6069858</v>
      </c>
      <c r="AD142" s="13">
        <f t="shared" si="26"/>
        <v>0</v>
      </c>
    </row>
    <row r="143" spans="1:30" ht="51" x14ac:dyDescent="0.25">
      <c r="A143" s="7">
        <f t="shared" si="18"/>
        <v>84</v>
      </c>
      <c r="B143" s="7" t="s">
        <v>706</v>
      </c>
      <c r="C143" s="7" t="s">
        <v>707</v>
      </c>
      <c r="D143" s="8" t="str">
        <f>INDEX('Summary by Assessment'!$C$5:$C$101,MATCH(C143,'Summary by Assessment'!$B$5:$B$101,0))</f>
        <v>Perth</v>
      </c>
      <c r="E143" s="9" t="s">
        <v>708</v>
      </c>
      <c r="F143" s="9" t="s">
        <v>232</v>
      </c>
      <c r="G143" s="9" t="s">
        <v>709</v>
      </c>
      <c r="H143" s="7" t="s">
        <v>710</v>
      </c>
      <c r="I143" s="7" t="s">
        <v>53</v>
      </c>
      <c r="J143" s="9" t="s">
        <v>711</v>
      </c>
      <c r="K143" s="9" t="s">
        <v>712</v>
      </c>
      <c r="L143" s="9" t="s">
        <v>713</v>
      </c>
      <c r="M143" s="10">
        <v>3</v>
      </c>
      <c r="N143" s="10">
        <v>2</v>
      </c>
      <c r="O143" s="7">
        <f t="shared" si="19"/>
        <v>6</v>
      </c>
      <c r="P143" s="7" t="str">
        <f>INDEX('Scales &amp; Matrix'!$B$13:$F$17,6-N143,M143)</f>
        <v>Moderate</v>
      </c>
      <c r="Q143" s="9" t="s">
        <v>714</v>
      </c>
      <c r="R143" s="10">
        <v>3</v>
      </c>
      <c r="S143" s="10">
        <v>2</v>
      </c>
      <c r="T143" s="7">
        <f t="shared" si="20"/>
        <v>6</v>
      </c>
      <c r="U143" s="7" t="str">
        <f>INDEX('Scales &amp; Matrix'!$B$13:$F$17,6-S143,R143)</f>
        <v>Moderate</v>
      </c>
      <c r="V143" s="11">
        <f t="shared" si="21"/>
        <v>0</v>
      </c>
      <c r="W143" s="12">
        <f t="shared" si="22"/>
        <v>0</v>
      </c>
      <c r="X143" s="9" t="s">
        <v>715</v>
      </c>
      <c r="Y143" s="7" t="s">
        <v>311</v>
      </c>
      <c r="Z143" s="7" t="s">
        <v>311</v>
      </c>
      <c r="AA143" s="9" t="str">
        <f t="shared" si="23"/>
        <v/>
      </c>
      <c r="AB143" s="13">
        <f t="shared" si="24"/>
        <v>6069857</v>
      </c>
      <c r="AC143" s="13">
        <f t="shared" si="25"/>
        <v>6069857</v>
      </c>
      <c r="AD143" s="13">
        <f t="shared" si="26"/>
        <v>0</v>
      </c>
    </row>
    <row r="144" spans="1:30" ht="38.25" x14ac:dyDescent="0.25">
      <c r="A144" s="7">
        <f t="shared" si="18"/>
        <v>84</v>
      </c>
      <c r="B144" s="7" t="s">
        <v>716</v>
      </c>
      <c r="C144" s="7" t="s">
        <v>707</v>
      </c>
      <c r="D144" s="8" t="str">
        <f>INDEX('Summary by Assessment'!$C$5:$C$101,MATCH(C144,'Summary by Assessment'!$B$5:$B$101,0))</f>
        <v>Perth</v>
      </c>
      <c r="E144" s="9" t="s">
        <v>708</v>
      </c>
      <c r="F144" s="9" t="s">
        <v>232</v>
      </c>
      <c r="G144" s="9" t="s">
        <v>709</v>
      </c>
      <c r="H144" s="7" t="s">
        <v>710</v>
      </c>
      <c r="I144" s="7" t="s">
        <v>92</v>
      </c>
      <c r="J144" s="9" t="s">
        <v>717</v>
      </c>
      <c r="K144" s="9" t="s">
        <v>712</v>
      </c>
      <c r="L144" s="9" t="s">
        <v>718</v>
      </c>
      <c r="M144" s="10">
        <v>3</v>
      </c>
      <c r="N144" s="10">
        <v>2</v>
      </c>
      <c r="O144" s="7">
        <f t="shared" si="19"/>
        <v>6</v>
      </c>
      <c r="P144" s="7" t="str">
        <f>INDEX('Scales &amp; Matrix'!$B$13:$F$17,6-N144,M144)</f>
        <v>Moderate</v>
      </c>
      <c r="Q144" s="9" t="s">
        <v>719</v>
      </c>
      <c r="R144" s="10">
        <v>3</v>
      </c>
      <c r="S144" s="10">
        <v>2</v>
      </c>
      <c r="T144" s="7">
        <f t="shared" si="20"/>
        <v>6</v>
      </c>
      <c r="U144" s="7" t="str">
        <f>INDEX('Scales &amp; Matrix'!$B$13:$F$17,6-S144,R144)</f>
        <v>Moderate</v>
      </c>
      <c r="V144" s="11">
        <f t="shared" si="21"/>
        <v>0</v>
      </c>
      <c r="W144" s="12">
        <f t="shared" si="22"/>
        <v>0</v>
      </c>
      <c r="X144" s="9" t="s">
        <v>720</v>
      </c>
      <c r="Y144" s="7" t="s">
        <v>311</v>
      </c>
      <c r="Z144" s="7" t="s">
        <v>311</v>
      </c>
      <c r="AA144" s="9" t="str">
        <f t="shared" si="23"/>
        <v/>
      </c>
      <c r="AB144" s="13">
        <f t="shared" si="24"/>
        <v>6069856</v>
      </c>
      <c r="AC144" s="13">
        <f t="shared" si="25"/>
        <v>6069856</v>
      </c>
      <c r="AD144" s="13">
        <f t="shared" si="26"/>
        <v>0</v>
      </c>
    </row>
    <row r="145" spans="1:30" ht="38.25" x14ac:dyDescent="0.25">
      <c r="A145" s="7">
        <f t="shared" si="18"/>
        <v>84</v>
      </c>
      <c r="B145" s="7" t="s">
        <v>721</v>
      </c>
      <c r="C145" s="7" t="s">
        <v>303</v>
      </c>
      <c r="D145" s="8" t="str">
        <f>INDEX('Summary by Assessment'!$C$5:$C$101,MATCH(C145,'Summary by Assessment'!$B$5:$B$101,0))</f>
        <v>Fremantle</v>
      </c>
      <c r="E145" s="9" t="s">
        <v>304</v>
      </c>
      <c r="F145" s="9" t="s">
        <v>155</v>
      </c>
      <c r="G145" s="9" t="s">
        <v>51</v>
      </c>
      <c r="H145" s="7" t="s">
        <v>305</v>
      </c>
      <c r="I145" s="7" t="s">
        <v>92</v>
      </c>
      <c r="J145" s="9" t="s">
        <v>722</v>
      </c>
      <c r="K145" s="9" t="s">
        <v>307</v>
      </c>
      <c r="L145" s="9" t="s">
        <v>723</v>
      </c>
      <c r="M145" s="10">
        <v>2</v>
      </c>
      <c r="N145" s="10">
        <v>3</v>
      </c>
      <c r="O145" s="7">
        <f t="shared" si="19"/>
        <v>6</v>
      </c>
      <c r="P145" s="7" t="str">
        <f>INDEX('Scales &amp; Matrix'!$B$13:$F$17,6-N145,M145)</f>
        <v>Moderate</v>
      </c>
      <c r="Q145" s="9" t="s">
        <v>724</v>
      </c>
      <c r="R145" s="10">
        <v>2</v>
      </c>
      <c r="S145" s="10">
        <v>3</v>
      </c>
      <c r="T145" s="7">
        <f t="shared" si="20"/>
        <v>6</v>
      </c>
      <c r="U145" s="7" t="str">
        <f>INDEX('Scales &amp; Matrix'!$B$13:$F$17,6-S145,R145)</f>
        <v>Moderate</v>
      </c>
      <c r="V145" s="11">
        <f t="shared" si="21"/>
        <v>0</v>
      </c>
      <c r="W145" s="12">
        <f t="shared" si="22"/>
        <v>0</v>
      </c>
      <c r="X145" s="9" t="s">
        <v>310</v>
      </c>
      <c r="Y145" s="7" t="s">
        <v>311</v>
      </c>
      <c r="Z145" s="7" t="s">
        <v>311</v>
      </c>
      <c r="AA145" s="9" t="str">
        <f t="shared" si="23"/>
        <v/>
      </c>
      <c r="AB145" s="13">
        <f t="shared" si="24"/>
        <v>6069855</v>
      </c>
      <c r="AC145" s="13">
        <f t="shared" si="25"/>
        <v>0</v>
      </c>
      <c r="AD145" s="13">
        <f t="shared" si="26"/>
        <v>6069855</v>
      </c>
    </row>
    <row r="146" spans="1:30" ht="51" x14ac:dyDescent="0.25">
      <c r="A146" s="7">
        <f t="shared" si="18"/>
        <v>84</v>
      </c>
      <c r="B146" s="7" t="s">
        <v>725</v>
      </c>
      <c r="C146" s="7" t="s">
        <v>201</v>
      </c>
      <c r="D146" s="8" t="str">
        <f>INDEX('Summary by Assessment'!$C$5:$C$101,MATCH(C146,'Summary by Assessment'!$B$5:$B$101,0))</f>
        <v>Fremantle</v>
      </c>
      <c r="E146" s="9" t="s">
        <v>202</v>
      </c>
      <c r="F146" s="9" t="s">
        <v>50</v>
      </c>
      <c r="G146" s="9" t="s">
        <v>51</v>
      </c>
      <c r="H146" s="7" t="s">
        <v>71</v>
      </c>
      <c r="I146" s="7" t="s">
        <v>92</v>
      </c>
      <c r="J146" s="9" t="s">
        <v>726</v>
      </c>
      <c r="K146" s="9" t="s">
        <v>163</v>
      </c>
      <c r="L146" s="9" t="s">
        <v>727</v>
      </c>
      <c r="M146" s="10">
        <v>2</v>
      </c>
      <c r="N146" s="10">
        <v>3</v>
      </c>
      <c r="O146" s="7">
        <f t="shared" si="19"/>
        <v>6</v>
      </c>
      <c r="P146" s="7" t="str">
        <f>INDEX('Scales &amp; Matrix'!$B$13:$F$17,6-N146,M146)</f>
        <v>Moderate</v>
      </c>
      <c r="Q146" s="9" t="s">
        <v>728</v>
      </c>
      <c r="R146" s="10">
        <v>2</v>
      </c>
      <c r="S146" s="10">
        <v>3</v>
      </c>
      <c r="T146" s="7">
        <f t="shared" si="20"/>
        <v>6</v>
      </c>
      <c r="U146" s="7" t="str">
        <f>INDEX('Scales &amp; Matrix'!$B$13:$F$17,6-S146,R146)</f>
        <v>Moderate</v>
      </c>
      <c r="V146" s="11">
        <f t="shared" si="21"/>
        <v>0</v>
      </c>
      <c r="W146" s="12">
        <f t="shared" si="22"/>
        <v>0</v>
      </c>
      <c r="X146" s="9" t="s">
        <v>166</v>
      </c>
      <c r="Y146" s="7" t="s">
        <v>311</v>
      </c>
      <c r="Z146" s="7" t="s">
        <v>311</v>
      </c>
      <c r="AA146" s="9" t="str">
        <f t="shared" si="23"/>
        <v/>
      </c>
      <c r="AB146" s="13">
        <f t="shared" si="24"/>
        <v>6069854</v>
      </c>
      <c r="AC146" s="13">
        <f t="shared" si="25"/>
        <v>0</v>
      </c>
      <c r="AD146" s="13">
        <f t="shared" si="26"/>
        <v>6069854</v>
      </c>
    </row>
    <row r="147" spans="1:30" ht="51" x14ac:dyDescent="0.25">
      <c r="A147" s="7">
        <f t="shared" si="18"/>
        <v>84</v>
      </c>
      <c r="B147" s="7" t="s">
        <v>729</v>
      </c>
      <c r="C147" s="7" t="s">
        <v>239</v>
      </c>
      <c r="D147" s="8" t="str">
        <f>INDEX('Summary by Assessment'!$C$5:$C$101,MATCH(C147,'Summary by Assessment'!$B$5:$B$101,0))</f>
        <v>Perth</v>
      </c>
      <c r="E147" s="9" t="s">
        <v>202</v>
      </c>
      <c r="F147" s="9" t="s">
        <v>50</v>
      </c>
      <c r="G147" s="9" t="s">
        <v>51</v>
      </c>
      <c r="H147" s="7" t="s">
        <v>52</v>
      </c>
      <c r="I147" s="7" t="s">
        <v>92</v>
      </c>
      <c r="J147" s="9" t="s">
        <v>726</v>
      </c>
      <c r="K147" s="9" t="s">
        <v>163</v>
      </c>
      <c r="L147" s="9" t="s">
        <v>727</v>
      </c>
      <c r="M147" s="10">
        <v>2</v>
      </c>
      <c r="N147" s="10">
        <v>3</v>
      </c>
      <c r="O147" s="7">
        <f t="shared" si="19"/>
        <v>6</v>
      </c>
      <c r="P147" s="7" t="str">
        <f>INDEX('Scales &amp; Matrix'!$B$13:$F$17,6-N147,M147)</f>
        <v>Moderate</v>
      </c>
      <c r="Q147" s="9" t="s">
        <v>728</v>
      </c>
      <c r="R147" s="10">
        <v>2</v>
      </c>
      <c r="S147" s="10">
        <v>3</v>
      </c>
      <c r="T147" s="7">
        <f t="shared" si="20"/>
        <v>6</v>
      </c>
      <c r="U147" s="7" t="str">
        <f>INDEX('Scales &amp; Matrix'!$B$13:$F$17,6-S147,R147)</f>
        <v>Moderate</v>
      </c>
      <c r="V147" s="11">
        <f t="shared" si="21"/>
        <v>0</v>
      </c>
      <c r="W147" s="12">
        <f t="shared" si="22"/>
        <v>0</v>
      </c>
      <c r="X147" s="9" t="s">
        <v>166</v>
      </c>
      <c r="Y147" s="7" t="s">
        <v>311</v>
      </c>
      <c r="Z147" s="7" t="s">
        <v>311</v>
      </c>
      <c r="AA147" s="9" t="str">
        <f t="shared" si="23"/>
        <v/>
      </c>
      <c r="AB147" s="13">
        <f t="shared" si="24"/>
        <v>6069853</v>
      </c>
      <c r="AC147" s="13">
        <f t="shared" si="25"/>
        <v>6069853</v>
      </c>
      <c r="AD147" s="13">
        <f t="shared" si="26"/>
        <v>0</v>
      </c>
    </row>
    <row r="148" spans="1:30" ht="51" x14ac:dyDescent="0.25">
      <c r="A148" s="7">
        <f t="shared" si="18"/>
        <v>84</v>
      </c>
      <c r="B148" s="7" t="s">
        <v>730</v>
      </c>
      <c r="C148" s="7" t="s">
        <v>731</v>
      </c>
      <c r="D148" s="8" t="str">
        <f>INDEX('Summary by Assessment'!$C$5:$C$101,MATCH(C148,'Summary by Assessment'!$B$5:$B$101,0))</f>
        <v>Perth</v>
      </c>
      <c r="E148" s="9" t="s">
        <v>732</v>
      </c>
      <c r="F148" s="9" t="s">
        <v>155</v>
      </c>
      <c r="G148" s="9" t="s">
        <v>51</v>
      </c>
      <c r="H148" s="7" t="s">
        <v>733</v>
      </c>
      <c r="I148" s="7" t="s">
        <v>53</v>
      </c>
      <c r="J148" s="9" t="s">
        <v>734</v>
      </c>
      <c r="K148" s="9" t="s">
        <v>307</v>
      </c>
      <c r="L148" s="9" t="s">
        <v>735</v>
      </c>
      <c r="M148" s="10">
        <v>2</v>
      </c>
      <c r="N148" s="10">
        <v>3</v>
      </c>
      <c r="O148" s="7">
        <f t="shared" si="19"/>
        <v>6</v>
      </c>
      <c r="P148" s="7" t="str">
        <f>INDEX('Scales &amp; Matrix'!$B$13:$F$17,6-N148,M148)</f>
        <v>Moderate</v>
      </c>
      <c r="Q148" s="9" t="s">
        <v>736</v>
      </c>
      <c r="R148" s="10">
        <v>2</v>
      </c>
      <c r="S148" s="10">
        <v>3</v>
      </c>
      <c r="T148" s="7">
        <f t="shared" si="20"/>
        <v>6</v>
      </c>
      <c r="U148" s="7" t="str">
        <f>INDEX('Scales &amp; Matrix'!$B$13:$F$17,6-S148,R148)</f>
        <v>Moderate</v>
      </c>
      <c r="V148" s="11">
        <f t="shared" si="21"/>
        <v>0</v>
      </c>
      <c r="W148" s="12">
        <f t="shared" si="22"/>
        <v>0</v>
      </c>
      <c r="X148" s="9" t="s">
        <v>215</v>
      </c>
      <c r="Y148" s="7" t="s">
        <v>311</v>
      </c>
      <c r="Z148" s="7" t="s">
        <v>311</v>
      </c>
      <c r="AA148" s="9" t="str">
        <f t="shared" si="23"/>
        <v/>
      </c>
      <c r="AB148" s="13">
        <f t="shared" si="24"/>
        <v>6069852</v>
      </c>
      <c r="AC148" s="13">
        <f t="shared" si="25"/>
        <v>6069852</v>
      </c>
      <c r="AD148" s="13">
        <f t="shared" si="26"/>
        <v>0</v>
      </c>
    </row>
    <row r="149" spans="1:30" ht="102" x14ac:dyDescent="0.25">
      <c r="A149" s="7">
        <f t="shared" si="18"/>
        <v>84</v>
      </c>
      <c r="B149" s="7" t="s">
        <v>737</v>
      </c>
      <c r="C149" s="7" t="s">
        <v>261</v>
      </c>
      <c r="D149" s="8" t="str">
        <f>INDEX('Summary by Assessment'!$C$5:$C$101,MATCH(C149,'Summary by Assessment'!$B$5:$B$101,0))</f>
        <v>Fremantle</v>
      </c>
      <c r="E149" s="9" t="s">
        <v>262</v>
      </c>
      <c r="F149" s="9" t="s">
        <v>50</v>
      </c>
      <c r="G149" s="9" t="s">
        <v>51</v>
      </c>
      <c r="H149" s="7" t="s">
        <v>71</v>
      </c>
      <c r="I149" s="7" t="s">
        <v>92</v>
      </c>
      <c r="J149" s="9" t="s">
        <v>738</v>
      </c>
      <c r="K149" s="9" t="s">
        <v>196</v>
      </c>
      <c r="L149" s="9" t="s">
        <v>739</v>
      </c>
      <c r="M149" s="10">
        <v>2</v>
      </c>
      <c r="N149" s="10">
        <v>2</v>
      </c>
      <c r="O149" s="7">
        <f t="shared" si="19"/>
        <v>4</v>
      </c>
      <c r="P149" s="7" t="str">
        <f>INDEX('Scales &amp; Matrix'!$B$13:$F$17,6-N149,M149)</f>
        <v>Low</v>
      </c>
      <c r="Q149" s="9" t="s">
        <v>740</v>
      </c>
      <c r="R149" s="10">
        <v>2</v>
      </c>
      <c r="S149" s="10">
        <v>3</v>
      </c>
      <c r="T149" s="7">
        <f t="shared" si="20"/>
        <v>6</v>
      </c>
      <c r="U149" s="7" t="str">
        <f>INDEX('Scales &amp; Matrix'!$B$13:$F$17,6-S149,R149)</f>
        <v>Moderate</v>
      </c>
      <c r="V149" s="11">
        <f t="shared" si="21"/>
        <v>-2</v>
      </c>
      <c r="W149" s="12">
        <f t="shared" si="22"/>
        <v>-0.5</v>
      </c>
      <c r="X149" s="9" t="s">
        <v>741</v>
      </c>
      <c r="Y149" s="7" t="s">
        <v>742</v>
      </c>
      <c r="Z149" s="7" t="s">
        <v>311</v>
      </c>
      <c r="AA149" s="9" t="str">
        <f t="shared" si="23"/>
        <v>Residual higher than inherent - check.</v>
      </c>
      <c r="AB149" s="13">
        <f t="shared" si="24"/>
        <v>6049851</v>
      </c>
      <c r="AC149" s="13">
        <f t="shared" si="25"/>
        <v>0</v>
      </c>
      <c r="AD149" s="13">
        <f t="shared" si="26"/>
        <v>6049851</v>
      </c>
    </row>
    <row r="150" spans="1:30" ht="51" x14ac:dyDescent="0.25">
      <c r="A150" s="7">
        <f t="shared" si="18"/>
        <v>84</v>
      </c>
      <c r="B150" s="7" t="s">
        <v>743</v>
      </c>
      <c r="C150" s="7" t="s">
        <v>744</v>
      </c>
      <c r="D150" s="8" t="str">
        <f>INDEX('Summary by Assessment'!$C$5:$C$101,MATCH(C150,'Summary by Assessment'!$B$5:$B$101,0))</f>
        <v>Perth</v>
      </c>
      <c r="E150" s="9" t="s">
        <v>745</v>
      </c>
      <c r="F150" s="9" t="s">
        <v>232</v>
      </c>
      <c r="G150" s="9" t="s">
        <v>51</v>
      </c>
      <c r="H150" s="7" t="s">
        <v>549</v>
      </c>
      <c r="I150" s="7" t="s">
        <v>53</v>
      </c>
      <c r="J150" s="9" t="s">
        <v>746</v>
      </c>
      <c r="K150" s="9" t="s">
        <v>747</v>
      </c>
      <c r="L150" s="9" t="s">
        <v>748</v>
      </c>
      <c r="M150" s="10">
        <v>2</v>
      </c>
      <c r="N150" s="10">
        <v>2</v>
      </c>
      <c r="O150" s="7">
        <f t="shared" si="19"/>
        <v>4</v>
      </c>
      <c r="P150" s="7" t="str">
        <f>INDEX('Scales &amp; Matrix'!$B$13:$F$17,6-N150,M150)</f>
        <v>Low</v>
      </c>
      <c r="Q150" s="9" t="s">
        <v>749</v>
      </c>
      <c r="R150" s="10">
        <v>2</v>
      </c>
      <c r="S150" s="10">
        <v>3</v>
      </c>
      <c r="T150" s="7">
        <f t="shared" si="20"/>
        <v>6</v>
      </c>
      <c r="U150" s="7" t="str">
        <f>INDEX('Scales &amp; Matrix'!$B$13:$F$17,6-S150,R150)</f>
        <v>Moderate</v>
      </c>
      <c r="V150" s="11">
        <f t="shared" si="21"/>
        <v>-2</v>
      </c>
      <c r="W150" s="12">
        <f t="shared" si="22"/>
        <v>-0.5</v>
      </c>
      <c r="X150" s="9" t="s">
        <v>750</v>
      </c>
      <c r="Y150" s="7" t="s">
        <v>742</v>
      </c>
      <c r="Z150" s="7" t="s">
        <v>311</v>
      </c>
      <c r="AA150" s="9" t="str">
        <f t="shared" si="23"/>
        <v>Residual higher than inherent - check.</v>
      </c>
      <c r="AB150" s="13">
        <f t="shared" si="24"/>
        <v>6049850</v>
      </c>
      <c r="AC150" s="13">
        <f t="shared" si="25"/>
        <v>6049850</v>
      </c>
      <c r="AD150" s="13">
        <f t="shared" si="26"/>
        <v>0</v>
      </c>
    </row>
    <row r="151" spans="1:30" ht="102" x14ac:dyDescent="0.25">
      <c r="A151" s="7">
        <f t="shared" si="18"/>
        <v>84</v>
      </c>
      <c r="B151" s="7" t="s">
        <v>751</v>
      </c>
      <c r="C151" s="7" t="s">
        <v>289</v>
      </c>
      <c r="D151" s="8" t="str">
        <f>INDEX('Summary by Assessment'!$C$5:$C$101,MATCH(C151,'Summary by Assessment'!$B$5:$B$101,0))</f>
        <v>Perth</v>
      </c>
      <c r="E151" s="9" t="s">
        <v>262</v>
      </c>
      <c r="F151" s="9" t="s">
        <v>50</v>
      </c>
      <c r="G151" s="9" t="s">
        <v>51</v>
      </c>
      <c r="H151" s="7" t="s">
        <v>52</v>
      </c>
      <c r="I151" s="7" t="s">
        <v>92</v>
      </c>
      <c r="J151" s="9" t="s">
        <v>738</v>
      </c>
      <c r="K151" s="9" t="s">
        <v>196</v>
      </c>
      <c r="L151" s="9" t="s">
        <v>739</v>
      </c>
      <c r="M151" s="10">
        <v>2</v>
      </c>
      <c r="N151" s="10">
        <v>2</v>
      </c>
      <c r="O151" s="7">
        <f t="shared" si="19"/>
        <v>4</v>
      </c>
      <c r="P151" s="7" t="str">
        <f>INDEX('Scales &amp; Matrix'!$B$13:$F$17,6-N151,M151)</f>
        <v>Low</v>
      </c>
      <c r="Q151" s="9" t="s">
        <v>740</v>
      </c>
      <c r="R151" s="10">
        <v>2</v>
      </c>
      <c r="S151" s="10">
        <v>3</v>
      </c>
      <c r="T151" s="7">
        <f t="shared" si="20"/>
        <v>6</v>
      </c>
      <c r="U151" s="7" t="str">
        <f>INDEX('Scales &amp; Matrix'!$B$13:$F$17,6-S151,R151)</f>
        <v>Moderate</v>
      </c>
      <c r="V151" s="11">
        <f t="shared" si="21"/>
        <v>-2</v>
      </c>
      <c r="W151" s="12">
        <f t="shared" si="22"/>
        <v>-0.5</v>
      </c>
      <c r="X151" s="9" t="s">
        <v>741</v>
      </c>
      <c r="Y151" s="7" t="s">
        <v>742</v>
      </c>
      <c r="Z151" s="7" t="s">
        <v>311</v>
      </c>
      <c r="AA151" s="9" t="str">
        <f t="shared" si="23"/>
        <v>Residual higher than inherent - check.</v>
      </c>
      <c r="AB151" s="13">
        <f t="shared" si="24"/>
        <v>6049849</v>
      </c>
      <c r="AC151" s="13">
        <f t="shared" si="25"/>
        <v>6049849</v>
      </c>
      <c r="AD151" s="13">
        <f t="shared" si="26"/>
        <v>0</v>
      </c>
    </row>
    <row r="152" spans="1:30" ht="51" x14ac:dyDescent="0.25">
      <c r="A152" s="7">
        <f t="shared" si="18"/>
        <v>84</v>
      </c>
      <c r="B152" s="7" t="s">
        <v>752</v>
      </c>
      <c r="C152" s="7" t="s">
        <v>753</v>
      </c>
      <c r="D152" s="8" t="str">
        <f>INDEX('Summary by Assessment'!$C$5:$C$101,MATCH(C152,'Summary by Assessment'!$B$5:$B$101,0))</f>
        <v>Perth</v>
      </c>
      <c r="E152" s="9" t="s">
        <v>754</v>
      </c>
      <c r="F152" s="9" t="s">
        <v>232</v>
      </c>
      <c r="G152" s="9" t="s">
        <v>51</v>
      </c>
      <c r="H152" s="7" t="s">
        <v>549</v>
      </c>
      <c r="I152" s="7" t="s">
        <v>53</v>
      </c>
      <c r="J152" s="9" t="s">
        <v>746</v>
      </c>
      <c r="K152" s="9" t="s">
        <v>747</v>
      </c>
      <c r="L152" s="9" t="s">
        <v>748</v>
      </c>
      <c r="M152" s="10">
        <v>2</v>
      </c>
      <c r="N152" s="10">
        <v>2</v>
      </c>
      <c r="O152" s="7">
        <f t="shared" si="19"/>
        <v>4</v>
      </c>
      <c r="P152" s="7" t="str">
        <f>INDEX('Scales &amp; Matrix'!$B$13:$F$17,6-N152,M152)</f>
        <v>Low</v>
      </c>
      <c r="Q152" s="9" t="s">
        <v>749</v>
      </c>
      <c r="R152" s="10">
        <v>2</v>
      </c>
      <c r="S152" s="10">
        <v>3</v>
      </c>
      <c r="T152" s="7">
        <f t="shared" si="20"/>
        <v>6</v>
      </c>
      <c r="U152" s="7" t="str">
        <f>INDEX('Scales &amp; Matrix'!$B$13:$F$17,6-S152,R152)</f>
        <v>Moderate</v>
      </c>
      <c r="V152" s="11">
        <f t="shared" si="21"/>
        <v>-2</v>
      </c>
      <c r="W152" s="12">
        <f t="shared" si="22"/>
        <v>-0.5</v>
      </c>
      <c r="X152" s="9" t="s">
        <v>750</v>
      </c>
      <c r="Y152" s="7" t="s">
        <v>742</v>
      </c>
      <c r="Z152" s="7" t="s">
        <v>311</v>
      </c>
      <c r="AA152" s="9" t="str">
        <f t="shared" si="23"/>
        <v>Residual higher than inherent - check.</v>
      </c>
      <c r="AB152" s="13">
        <f t="shared" si="24"/>
        <v>6049848</v>
      </c>
      <c r="AC152" s="13">
        <f t="shared" si="25"/>
        <v>6049848</v>
      </c>
      <c r="AD152" s="13">
        <f t="shared" si="26"/>
        <v>0</v>
      </c>
    </row>
    <row r="153" spans="1:30" ht="63.75" x14ac:dyDescent="0.25">
      <c r="A153" s="7">
        <f t="shared" si="18"/>
        <v>84</v>
      </c>
      <c r="B153" s="7" t="s">
        <v>755</v>
      </c>
      <c r="C153" s="7" t="s">
        <v>349</v>
      </c>
      <c r="D153" s="8" t="str">
        <f>INDEX('Summary by Assessment'!$C$5:$C$101,MATCH(C153,'Summary by Assessment'!$B$5:$B$101,0))</f>
        <v>Fremantle</v>
      </c>
      <c r="E153" s="9" t="s">
        <v>350</v>
      </c>
      <c r="F153" s="9" t="s">
        <v>50</v>
      </c>
      <c r="G153" s="9" t="s">
        <v>51</v>
      </c>
      <c r="H153" s="7" t="s">
        <v>91</v>
      </c>
      <c r="I153" s="7" t="s">
        <v>92</v>
      </c>
      <c r="J153" s="9" t="s">
        <v>756</v>
      </c>
      <c r="K153" s="9" t="s">
        <v>163</v>
      </c>
      <c r="L153" s="9" t="s">
        <v>757</v>
      </c>
      <c r="M153" s="10">
        <v>3</v>
      </c>
      <c r="N153" s="10">
        <v>1</v>
      </c>
      <c r="O153" s="7">
        <f t="shared" si="19"/>
        <v>3</v>
      </c>
      <c r="P153" s="7" t="str">
        <f>INDEX('Scales &amp; Matrix'!$B$13:$F$17,6-N153,M153)</f>
        <v>Low</v>
      </c>
      <c r="Q153" s="9" t="s">
        <v>758</v>
      </c>
      <c r="R153" s="10">
        <v>3</v>
      </c>
      <c r="S153" s="10">
        <v>2</v>
      </c>
      <c r="T153" s="7">
        <f t="shared" si="20"/>
        <v>6</v>
      </c>
      <c r="U153" s="7" t="str">
        <f>INDEX('Scales &amp; Matrix'!$B$13:$F$17,6-S153,R153)</f>
        <v>Moderate</v>
      </c>
      <c r="V153" s="11">
        <f t="shared" si="21"/>
        <v>-3</v>
      </c>
      <c r="W153" s="12">
        <f t="shared" si="22"/>
        <v>-1</v>
      </c>
      <c r="X153" s="9" t="s">
        <v>176</v>
      </c>
      <c r="Y153" s="7" t="s">
        <v>759</v>
      </c>
      <c r="Z153" s="7" t="s">
        <v>311</v>
      </c>
      <c r="AA153" s="9" t="str">
        <f t="shared" si="23"/>
        <v>Residual higher than inherent - check.</v>
      </c>
      <c r="AB153" s="13">
        <f t="shared" si="24"/>
        <v>6039847</v>
      </c>
      <c r="AC153" s="13">
        <f t="shared" si="25"/>
        <v>0</v>
      </c>
      <c r="AD153" s="13">
        <f t="shared" si="26"/>
        <v>6039847</v>
      </c>
    </row>
    <row r="154" spans="1:30" ht="38.25" x14ac:dyDescent="0.25">
      <c r="A154" s="7">
        <f t="shared" si="18"/>
        <v>150</v>
      </c>
      <c r="B154" s="7" t="s">
        <v>760</v>
      </c>
      <c r="C154" s="7" t="s">
        <v>504</v>
      </c>
      <c r="D154" s="8" t="str">
        <f>INDEX('Summary by Assessment'!$C$5:$C$101,MATCH(C154,'Summary by Assessment'!$B$5:$B$101,0))</f>
        <v>Fremantle</v>
      </c>
      <c r="E154" s="9" t="s">
        <v>505</v>
      </c>
      <c r="F154" s="9" t="s">
        <v>155</v>
      </c>
      <c r="G154" s="9" t="s">
        <v>51</v>
      </c>
      <c r="H154" s="7" t="s">
        <v>506</v>
      </c>
      <c r="I154" s="7" t="s">
        <v>53</v>
      </c>
      <c r="J154" s="9" t="s">
        <v>761</v>
      </c>
      <c r="K154" s="9" t="s">
        <v>131</v>
      </c>
      <c r="L154" s="9" t="s">
        <v>762</v>
      </c>
      <c r="M154" s="10">
        <v>5</v>
      </c>
      <c r="N154" s="10">
        <v>4</v>
      </c>
      <c r="O154" s="7">
        <f t="shared" si="19"/>
        <v>20</v>
      </c>
      <c r="P154" s="7" t="str">
        <f>INDEX('Scales &amp; Matrix'!$B$13:$F$17,6-N154,M154)</f>
        <v>Critical</v>
      </c>
      <c r="Q154" s="9" t="s">
        <v>763</v>
      </c>
      <c r="R154" s="10">
        <v>5</v>
      </c>
      <c r="S154" s="10">
        <v>1</v>
      </c>
      <c r="T154" s="7">
        <f t="shared" si="20"/>
        <v>5</v>
      </c>
      <c r="U154" s="7" t="str">
        <f>INDEX('Scales &amp; Matrix'!$B$13:$F$17,6-S154,R154)</f>
        <v>Moderate</v>
      </c>
      <c r="V154" s="11">
        <f t="shared" si="21"/>
        <v>15</v>
      </c>
      <c r="W154" s="12">
        <f t="shared" si="22"/>
        <v>0.75</v>
      </c>
      <c r="X154" s="9" t="s">
        <v>176</v>
      </c>
      <c r="Y154" s="7" t="s">
        <v>764</v>
      </c>
      <c r="Z154" s="7" t="s">
        <v>765</v>
      </c>
      <c r="AA154" s="9" t="str">
        <f t="shared" si="23"/>
        <v/>
      </c>
      <c r="AB154" s="13">
        <f t="shared" si="24"/>
        <v>5209846</v>
      </c>
      <c r="AC154" s="13">
        <f t="shared" si="25"/>
        <v>0</v>
      </c>
      <c r="AD154" s="13">
        <f t="shared" si="26"/>
        <v>5209846</v>
      </c>
    </row>
    <row r="155" spans="1:30" ht="38.25" x14ac:dyDescent="0.25">
      <c r="A155" s="7">
        <f t="shared" si="18"/>
        <v>150</v>
      </c>
      <c r="B155" s="7" t="s">
        <v>766</v>
      </c>
      <c r="C155" s="7" t="s">
        <v>767</v>
      </c>
      <c r="D155" s="8" t="str">
        <f>INDEX('Summary by Assessment'!$C$5:$C$101,MATCH(C155,'Summary by Assessment'!$B$5:$B$101,0))</f>
        <v>Perth</v>
      </c>
      <c r="E155" s="9" t="s">
        <v>768</v>
      </c>
      <c r="F155" s="9" t="s">
        <v>232</v>
      </c>
      <c r="G155" s="9" t="s">
        <v>51</v>
      </c>
      <c r="H155" s="7" t="s">
        <v>769</v>
      </c>
      <c r="I155" s="7" t="s">
        <v>39</v>
      </c>
      <c r="J155" s="9" t="s">
        <v>770</v>
      </c>
      <c r="K155" s="9" t="s">
        <v>771</v>
      </c>
      <c r="L155" s="9" t="s">
        <v>772</v>
      </c>
      <c r="M155" s="10">
        <v>5</v>
      </c>
      <c r="N155" s="10">
        <v>4</v>
      </c>
      <c r="O155" s="7">
        <f t="shared" si="19"/>
        <v>20</v>
      </c>
      <c r="P155" s="7" t="str">
        <f>INDEX('Scales &amp; Matrix'!$B$13:$F$17,6-N155,M155)</f>
        <v>Critical</v>
      </c>
      <c r="Q155" s="9" t="s">
        <v>773</v>
      </c>
      <c r="R155" s="10">
        <v>5</v>
      </c>
      <c r="S155" s="10">
        <v>1</v>
      </c>
      <c r="T155" s="7">
        <f t="shared" si="20"/>
        <v>5</v>
      </c>
      <c r="U155" s="7" t="str">
        <f>INDEX('Scales &amp; Matrix'!$B$13:$F$17,6-S155,R155)</f>
        <v>Moderate</v>
      </c>
      <c r="V155" s="11">
        <f t="shared" si="21"/>
        <v>15</v>
      </c>
      <c r="W155" s="12">
        <f t="shared" si="22"/>
        <v>0.75</v>
      </c>
      <c r="X155" s="9" t="s">
        <v>97</v>
      </c>
      <c r="Y155" s="7" t="s">
        <v>764</v>
      </c>
      <c r="Z155" s="7" t="s">
        <v>765</v>
      </c>
      <c r="AA155" s="9" t="str">
        <f t="shared" si="23"/>
        <v/>
      </c>
      <c r="AB155" s="13">
        <f t="shared" si="24"/>
        <v>5209845</v>
      </c>
      <c r="AC155" s="13">
        <f t="shared" si="25"/>
        <v>5209845</v>
      </c>
      <c r="AD155" s="13">
        <f t="shared" si="26"/>
        <v>0</v>
      </c>
    </row>
    <row r="156" spans="1:30" ht="38.25" x14ac:dyDescent="0.25">
      <c r="A156" s="7">
        <f t="shared" si="18"/>
        <v>150</v>
      </c>
      <c r="B156" s="7" t="s">
        <v>774</v>
      </c>
      <c r="C156" s="7" t="s">
        <v>524</v>
      </c>
      <c r="D156" s="8" t="str">
        <f>INDEX('Summary by Assessment'!$C$5:$C$101,MATCH(C156,'Summary by Assessment'!$B$5:$B$101,0))</f>
        <v>Perth</v>
      </c>
      <c r="E156" s="9" t="s">
        <v>505</v>
      </c>
      <c r="F156" s="9" t="s">
        <v>155</v>
      </c>
      <c r="G156" s="9" t="s">
        <v>295</v>
      </c>
      <c r="H156" s="7" t="s">
        <v>525</v>
      </c>
      <c r="I156" s="7" t="s">
        <v>53</v>
      </c>
      <c r="J156" s="9" t="s">
        <v>761</v>
      </c>
      <c r="K156" s="9" t="s">
        <v>131</v>
      </c>
      <c r="L156" s="9" t="s">
        <v>762</v>
      </c>
      <c r="M156" s="10">
        <v>5</v>
      </c>
      <c r="N156" s="10">
        <v>4</v>
      </c>
      <c r="O156" s="7">
        <f t="shared" si="19"/>
        <v>20</v>
      </c>
      <c r="P156" s="7" t="str">
        <f>INDEX('Scales &amp; Matrix'!$B$13:$F$17,6-N156,M156)</f>
        <v>Critical</v>
      </c>
      <c r="Q156" s="9" t="s">
        <v>763</v>
      </c>
      <c r="R156" s="10">
        <v>5</v>
      </c>
      <c r="S156" s="10">
        <v>1</v>
      </c>
      <c r="T156" s="7">
        <f t="shared" si="20"/>
        <v>5</v>
      </c>
      <c r="U156" s="7" t="str">
        <f>INDEX('Scales &amp; Matrix'!$B$13:$F$17,6-S156,R156)</f>
        <v>Moderate</v>
      </c>
      <c r="V156" s="11">
        <f t="shared" si="21"/>
        <v>15</v>
      </c>
      <c r="W156" s="12">
        <f t="shared" si="22"/>
        <v>0.75</v>
      </c>
      <c r="X156" s="9" t="s">
        <v>176</v>
      </c>
      <c r="Y156" s="7" t="s">
        <v>764</v>
      </c>
      <c r="Z156" s="7" t="s">
        <v>765</v>
      </c>
      <c r="AA156" s="9" t="str">
        <f t="shared" si="23"/>
        <v/>
      </c>
      <c r="AB156" s="13">
        <f t="shared" si="24"/>
        <v>5209844</v>
      </c>
      <c r="AC156" s="13">
        <f t="shared" si="25"/>
        <v>5209844</v>
      </c>
      <c r="AD156" s="13">
        <f t="shared" si="26"/>
        <v>0</v>
      </c>
    </row>
    <row r="157" spans="1:30" ht="51" x14ac:dyDescent="0.25">
      <c r="A157" s="7">
        <f t="shared" si="18"/>
        <v>150</v>
      </c>
      <c r="B157" s="7" t="s">
        <v>775</v>
      </c>
      <c r="C157" s="7" t="s">
        <v>504</v>
      </c>
      <c r="D157" s="8" t="str">
        <f>INDEX('Summary by Assessment'!$C$5:$C$101,MATCH(C157,'Summary by Assessment'!$B$5:$B$101,0))</f>
        <v>Fremantle</v>
      </c>
      <c r="E157" s="9" t="s">
        <v>505</v>
      </c>
      <c r="F157" s="9" t="s">
        <v>155</v>
      </c>
      <c r="G157" s="9" t="s">
        <v>51</v>
      </c>
      <c r="H157" s="7" t="s">
        <v>506</v>
      </c>
      <c r="I157" s="7" t="s">
        <v>39</v>
      </c>
      <c r="J157" s="9" t="s">
        <v>776</v>
      </c>
      <c r="K157" s="9" t="s">
        <v>777</v>
      </c>
      <c r="L157" s="9" t="s">
        <v>778</v>
      </c>
      <c r="M157" s="10">
        <v>5</v>
      </c>
      <c r="N157" s="10">
        <v>3</v>
      </c>
      <c r="O157" s="7">
        <f t="shared" si="19"/>
        <v>15</v>
      </c>
      <c r="P157" s="7" t="str">
        <f>INDEX('Scales &amp; Matrix'!$B$13:$F$17,6-N157,M157)</f>
        <v>High</v>
      </c>
      <c r="Q157" s="9" t="s">
        <v>779</v>
      </c>
      <c r="R157" s="10">
        <v>5</v>
      </c>
      <c r="S157" s="10">
        <v>1</v>
      </c>
      <c r="T157" s="7">
        <f t="shared" si="20"/>
        <v>5</v>
      </c>
      <c r="U157" s="7" t="str">
        <f>INDEX('Scales &amp; Matrix'!$B$13:$F$17,6-S157,R157)</f>
        <v>Moderate</v>
      </c>
      <c r="V157" s="11">
        <f t="shared" si="21"/>
        <v>10</v>
      </c>
      <c r="W157" s="12">
        <f t="shared" si="22"/>
        <v>0.66666666666666663</v>
      </c>
      <c r="X157" s="9" t="s">
        <v>176</v>
      </c>
      <c r="Y157" s="7" t="s">
        <v>45</v>
      </c>
      <c r="Z157" s="7" t="s">
        <v>765</v>
      </c>
      <c r="AA157" s="9" t="str">
        <f t="shared" si="23"/>
        <v/>
      </c>
      <c r="AB157" s="13">
        <f t="shared" si="24"/>
        <v>5159843</v>
      </c>
      <c r="AC157" s="13">
        <f t="shared" si="25"/>
        <v>0</v>
      </c>
      <c r="AD157" s="13">
        <f t="shared" si="26"/>
        <v>5159843</v>
      </c>
    </row>
    <row r="158" spans="1:30" ht="38.25" x14ac:dyDescent="0.25">
      <c r="A158" s="7">
        <f t="shared" si="18"/>
        <v>150</v>
      </c>
      <c r="B158" s="7" t="s">
        <v>780</v>
      </c>
      <c r="C158" s="7" t="s">
        <v>781</v>
      </c>
      <c r="D158" s="8" t="str">
        <f>INDEX('Summary by Assessment'!$C$5:$C$101,MATCH(C158,'Summary by Assessment'!$B$5:$B$101,0))</f>
        <v>Perth</v>
      </c>
      <c r="E158" s="9" t="s">
        <v>782</v>
      </c>
      <c r="F158" s="9" t="s">
        <v>232</v>
      </c>
      <c r="G158" s="9" t="s">
        <v>51</v>
      </c>
      <c r="H158" s="7" t="s">
        <v>783</v>
      </c>
      <c r="I158" s="7" t="s">
        <v>53</v>
      </c>
      <c r="J158" s="9" t="s">
        <v>784</v>
      </c>
      <c r="K158" s="9" t="s">
        <v>307</v>
      </c>
      <c r="L158" s="9" t="s">
        <v>785</v>
      </c>
      <c r="M158" s="10">
        <v>5</v>
      </c>
      <c r="N158" s="10">
        <v>3</v>
      </c>
      <c r="O158" s="7">
        <f t="shared" si="19"/>
        <v>15</v>
      </c>
      <c r="P158" s="7" t="str">
        <f>INDEX('Scales &amp; Matrix'!$B$13:$F$17,6-N158,M158)</f>
        <v>High</v>
      </c>
      <c r="Q158" s="9" t="s">
        <v>786</v>
      </c>
      <c r="R158" s="10">
        <v>5</v>
      </c>
      <c r="S158" s="10">
        <v>1</v>
      </c>
      <c r="T158" s="7">
        <f t="shared" si="20"/>
        <v>5</v>
      </c>
      <c r="U158" s="7" t="str">
        <f>INDEX('Scales &amp; Matrix'!$B$13:$F$17,6-S158,R158)</f>
        <v>Moderate</v>
      </c>
      <c r="V158" s="11">
        <f t="shared" si="21"/>
        <v>10</v>
      </c>
      <c r="W158" s="12">
        <f t="shared" si="22"/>
        <v>0.66666666666666663</v>
      </c>
      <c r="X158" s="9" t="s">
        <v>787</v>
      </c>
      <c r="Y158" s="7" t="s">
        <v>45</v>
      </c>
      <c r="Z158" s="7" t="s">
        <v>765</v>
      </c>
      <c r="AA158" s="9" t="str">
        <f t="shared" si="23"/>
        <v/>
      </c>
      <c r="AB158" s="13">
        <f t="shared" si="24"/>
        <v>5159842</v>
      </c>
      <c r="AC158" s="13">
        <f t="shared" si="25"/>
        <v>5159842</v>
      </c>
      <c r="AD158" s="13">
        <f t="shared" si="26"/>
        <v>0</v>
      </c>
    </row>
    <row r="159" spans="1:30" ht="140.25" x14ac:dyDescent="0.25">
      <c r="A159" s="7">
        <f t="shared" si="18"/>
        <v>150</v>
      </c>
      <c r="B159" s="7" t="s">
        <v>788</v>
      </c>
      <c r="C159" s="7" t="s">
        <v>789</v>
      </c>
      <c r="D159" s="8" t="str">
        <f>INDEX('Summary by Assessment'!$C$5:$C$101,MATCH(C159,'Summary by Assessment'!$B$5:$B$101,0))</f>
        <v>Perth</v>
      </c>
      <c r="E159" s="9" t="s">
        <v>790</v>
      </c>
      <c r="F159" s="9" t="s">
        <v>232</v>
      </c>
      <c r="G159" s="9" t="s">
        <v>51</v>
      </c>
      <c r="H159" s="7" t="s">
        <v>549</v>
      </c>
      <c r="I159" s="7" t="s">
        <v>53</v>
      </c>
      <c r="J159" s="9" t="s">
        <v>791</v>
      </c>
      <c r="K159" s="9" t="s">
        <v>163</v>
      </c>
      <c r="L159" s="9" t="s">
        <v>792</v>
      </c>
      <c r="M159" s="10">
        <v>5</v>
      </c>
      <c r="N159" s="10">
        <v>3</v>
      </c>
      <c r="O159" s="7">
        <f t="shared" si="19"/>
        <v>15</v>
      </c>
      <c r="P159" s="7" t="str">
        <f>INDEX('Scales &amp; Matrix'!$B$13:$F$17,6-N159,M159)</f>
        <v>High</v>
      </c>
      <c r="Q159" s="9" t="s">
        <v>793</v>
      </c>
      <c r="R159" s="10">
        <v>5</v>
      </c>
      <c r="S159" s="10">
        <v>1</v>
      </c>
      <c r="T159" s="7">
        <f t="shared" si="20"/>
        <v>5</v>
      </c>
      <c r="U159" s="7" t="str">
        <f>INDEX('Scales &amp; Matrix'!$B$13:$F$17,6-S159,R159)</f>
        <v>Moderate</v>
      </c>
      <c r="V159" s="11">
        <f t="shared" si="21"/>
        <v>10</v>
      </c>
      <c r="W159" s="12">
        <f t="shared" si="22"/>
        <v>0.66666666666666663</v>
      </c>
      <c r="X159" s="9" t="s">
        <v>794</v>
      </c>
      <c r="Y159" s="7" t="s">
        <v>45</v>
      </c>
      <c r="Z159" s="7" t="s">
        <v>765</v>
      </c>
      <c r="AA159" s="9" t="str">
        <f t="shared" si="23"/>
        <v/>
      </c>
      <c r="AB159" s="13">
        <f t="shared" si="24"/>
        <v>5159841</v>
      </c>
      <c r="AC159" s="13">
        <f t="shared" si="25"/>
        <v>5159841</v>
      </c>
      <c r="AD159" s="13">
        <f t="shared" si="26"/>
        <v>0</v>
      </c>
    </row>
    <row r="160" spans="1:30" ht="51" x14ac:dyDescent="0.25">
      <c r="A160" s="7">
        <f t="shared" si="18"/>
        <v>150</v>
      </c>
      <c r="B160" s="7" t="s">
        <v>795</v>
      </c>
      <c r="C160" s="7" t="s">
        <v>524</v>
      </c>
      <c r="D160" s="8" t="str">
        <f>INDEX('Summary by Assessment'!$C$5:$C$101,MATCH(C160,'Summary by Assessment'!$B$5:$B$101,0))</f>
        <v>Perth</v>
      </c>
      <c r="E160" s="9" t="s">
        <v>505</v>
      </c>
      <c r="F160" s="9" t="s">
        <v>155</v>
      </c>
      <c r="G160" s="9" t="s">
        <v>295</v>
      </c>
      <c r="H160" s="7" t="s">
        <v>525</v>
      </c>
      <c r="I160" s="7" t="s">
        <v>39</v>
      </c>
      <c r="J160" s="9" t="s">
        <v>776</v>
      </c>
      <c r="K160" s="9" t="s">
        <v>777</v>
      </c>
      <c r="L160" s="9" t="s">
        <v>778</v>
      </c>
      <c r="M160" s="10">
        <v>5</v>
      </c>
      <c r="N160" s="10">
        <v>3</v>
      </c>
      <c r="O160" s="7">
        <f t="shared" si="19"/>
        <v>15</v>
      </c>
      <c r="P160" s="7" t="str">
        <f>INDEX('Scales &amp; Matrix'!$B$13:$F$17,6-N160,M160)</f>
        <v>High</v>
      </c>
      <c r="Q160" s="9" t="s">
        <v>779</v>
      </c>
      <c r="R160" s="10">
        <v>5</v>
      </c>
      <c r="S160" s="10">
        <v>1</v>
      </c>
      <c r="T160" s="7">
        <f t="shared" si="20"/>
        <v>5</v>
      </c>
      <c r="U160" s="7" t="str">
        <f>INDEX('Scales &amp; Matrix'!$B$13:$F$17,6-S160,R160)</f>
        <v>Moderate</v>
      </c>
      <c r="V160" s="11">
        <f t="shared" si="21"/>
        <v>10</v>
      </c>
      <c r="W160" s="12">
        <f t="shared" si="22"/>
        <v>0.66666666666666663</v>
      </c>
      <c r="X160" s="9" t="s">
        <v>176</v>
      </c>
      <c r="Y160" s="7" t="s">
        <v>45</v>
      </c>
      <c r="Z160" s="7" t="s">
        <v>765</v>
      </c>
      <c r="AA160" s="9" t="str">
        <f t="shared" si="23"/>
        <v/>
      </c>
      <c r="AB160" s="13">
        <f t="shared" si="24"/>
        <v>5159840</v>
      </c>
      <c r="AC160" s="13">
        <f t="shared" si="25"/>
        <v>5159840</v>
      </c>
      <c r="AD160" s="13">
        <f t="shared" si="26"/>
        <v>0</v>
      </c>
    </row>
    <row r="161" spans="1:30" ht="102" x14ac:dyDescent="0.25">
      <c r="A161" s="7">
        <f t="shared" si="18"/>
        <v>150</v>
      </c>
      <c r="B161" s="7" t="s">
        <v>796</v>
      </c>
      <c r="C161" s="7" t="s">
        <v>797</v>
      </c>
      <c r="D161" s="8" t="str">
        <f>INDEX('Summary by Assessment'!$C$5:$C$101,MATCH(C161,'Summary by Assessment'!$B$5:$B$101,0))</f>
        <v>Fremantle</v>
      </c>
      <c r="E161" s="9" t="s">
        <v>798</v>
      </c>
      <c r="F161" s="9" t="s">
        <v>50</v>
      </c>
      <c r="G161" s="9" t="s">
        <v>51</v>
      </c>
      <c r="H161" s="7" t="s">
        <v>91</v>
      </c>
      <c r="I161" s="7" t="s">
        <v>53</v>
      </c>
      <c r="J161" s="9" t="s">
        <v>799</v>
      </c>
      <c r="K161" s="9" t="s">
        <v>477</v>
      </c>
      <c r="L161" s="9" t="s">
        <v>800</v>
      </c>
      <c r="M161" s="10">
        <v>5</v>
      </c>
      <c r="N161" s="10">
        <v>2</v>
      </c>
      <c r="O161" s="7">
        <f t="shared" si="19"/>
        <v>10</v>
      </c>
      <c r="P161" s="7" t="str">
        <f>INDEX('Scales &amp; Matrix'!$B$13:$F$17,6-N161,M161)</f>
        <v>High</v>
      </c>
      <c r="Q161" s="9" t="s">
        <v>801</v>
      </c>
      <c r="R161" s="10">
        <v>5</v>
      </c>
      <c r="S161" s="10">
        <v>1</v>
      </c>
      <c r="T161" s="7">
        <f t="shared" si="20"/>
        <v>5</v>
      </c>
      <c r="U161" s="7" t="str">
        <f>INDEX('Scales &amp; Matrix'!$B$13:$F$17,6-S161,R161)</f>
        <v>Moderate</v>
      </c>
      <c r="V161" s="11">
        <f t="shared" si="21"/>
        <v>5</v>
      </c>
      <c r="W161" s="12">
        <f t="shared" si="22"/>
        <v>0.5</v>
      </c>
      <c r="X161" s="9" t="s">
        <v>67</v>
      </c>
      <c r="Y161" s="7" t="s">
        <v>87</v>
      </c>
      <c r="Z161" s="7" t="s">
        <v>765</v>
      </c>
      <c r="AA161" s="9" t="str">
        <f t="shared" si="23"/>
        <v/>
      </c>
      <c r="AB161" s="13">
        <f t="shared" si="24"/>
        <v>5109839</v>
      </c>
      <c r="AC161" s="13">
        <f t="shared" si="25"/>
        <v>0</v>
      </c>
      <c r="AD161" s="13">
        <f t="shared" si="26"/>
        <v>5109839</v>
      </c>
    </row>
    <row r="162" spans="1:30" ht="51" x14ac:dyDescent="0.25">
      <c r="A162" s="7">
        <f t="shared" si="18"/>
        <v>150</v>
      </c>
      <c r="B162" s="7" t="s">
        <v>802</v>
      </c>
      <c r="C162" s="7" t="s">
        <v>89</v>
      </c>
      <c r="D162" s="8" t="str">
        <f>INDEX('Summary by Assessment'!$C$5:$C$101,MATCH(C162,'Summary by Assessment'!$B$5:$B$101,0))</f>
        <v>Fremantle</v>
      </c>
      <c r="E162" s="9" t="s">
        <v>90</v>
      </c>
      <c r="F162" s="9" t="s">
        <v>50</v>
      </c>
      <c r="G162" s="9" t="s">
        <v>51</v>
      </c>
      <c r="H162" s="7" t="s">
        <v>91</v>
      </c>
      <c r="I162" s="7" t="s">
        <v>39</v>
      </c>
      <c r="J162" s="9" t="s">
        <v>803</v>
      </c>
      <c r="K162" s="9" t="s">
        <v>94</v>
      </c>
      <c r="L162" s="9" t="s">
        <v>804</v>
      </c>
      <c r="M162" s="10">
        <v>5</v>
      </c>
      <c r="N162" s="10">
        <v>2</v>
      </c>
      <c r="O162" s="7">
        <f t="shared" si="19"/>
        <v>10</v>
      </c>
      <c r="P162" s="7" t="str">
        <f>INDEX('Scales &amp; Matrix'!$B$13:$F$17,6-N162,M162)</f>
        <v>High</v>
      </c>
      <c r="Q162" s="9" t="s">
        <v>805</v>
      </c>
      <c r="R162" s="10">
        <v>5</v>
      </c>
      <c r="S162" s="10">
        <v>1</v>
      </c>
      <c r="T162" s="7">
        <f t="shared" si="20"/>
        <v>5</v>
      </c>
      <c r="U162" s="7" t="str">
        <f>INDEX('Scales &amp; Matrix'!$B$13:$F$17,6-S162,R162)</f>
        <v>Moderate</v>
      </c>
      <c r="V162" s="11">
        <f t="shared" si="21"/>
        <v>5</v>
      </c>
      <c r="W162" s="12">
        <f t="shared" si="22"/>
        <v>0.5</v>
      </c>
      <c r="X162" s="9" t="s">
        <v>97</v>
      </c>
      <c r="Y162" s="7" t="s">
        <v>87</v>
      </c>
      <c r="Z162" s="7" t="s">
        <v>765</v>
      </c>
      <c r="AA162" s="9" t="str">
        <f t="shared" si="23"/>
        <v/>
      </c>
      <c r="AB162" s="13">
        <f t="shared" si="24"/>
        <v>5109838</v>
      </c>
      <c r="AC162" s="13">
        <f t="shared" si="25"/>
        <v>0</v>
      </c>
      <c r="AD162" s="13">
        <f t="shared" si="26"/>
        <v>5109838</v>
      </c>
    </row>
    <row r="163" spans="1:30" ht="51" x14ac:dyDescent="0.25">
      <c r="A163" s="7">
        <f t="shared" si="18"/>
        <v>150</v>
      </c>
      <c r="B163" s="7" t="s">
        <v>806</v>
      </c>
      <c r="C163" s="7" t="s">
        <v>89</v>
      </c>
      <c r="D163" s="8" t="str">
        <f>INDEX('Summary by Assessment'!$C$5:$C$101,MATCH(C163,'Summary by Assessment'!$B$5:$B$101,0))</f>
        <v>Fremantle</v>
      </c>
      <c r="E163" s="9" t="s">
        <v>90</v>
      </c>
      <c r="F163" s="9" t="s">
        <v>50</v>
      </c>
      <c r="G163" s="9" t="s">
        <v>51</v>
      </c>
      <c r="H163" s="7" t="s">
        <v>91</v>
      </c>
      <c r="I163" s="7" t="s">
        <v>62</v>
      </c>
      <c r="J163" s="9" t="s">
        <v>807</v>
      </c>
      <c r="K163" s="9" t="s">
        <v>94</v>
      </c>
      <c r="L163" s="9" t="s">
        <v>808</v>
      </c>
      <c r="M163" s="10">
        <v>5</v>
      </c>
      <c r="N163" s="10">
        <v>2</v>
      </c>
      <c r="O163" s="7">
        <f t="shared" si="19"/>
        <v>10</v>
      </c>
      <c r="P163" s="7" t="str">
        <f>INDEX('Scales &amp; Matrix'!$B$13:$F$17,6-N163,M163)</f>
        <v>High</v>
      </c>
      <c r="Q163" s="9" t="s">
        <v>809</v>
      </c>
      <c r="R163" s="10">
        <v>5</v>
      </c>
      <c r="S163" s="10">
        <v>1</v>
      </c>
      <c r="T163" s="7">
        <f t="shared" si="20"/>
        <v>5</v>
      </c>
      <c r="U163" s="7" t="str">
        <f>INDEX('Scales &amp; Matrix'!$B$13:$F$17,6-S163,R163)</f>
        <v>Moderate</v>
      </c>
      <c r="V163" s="11">
        <f t="shared" si="21"/>
        <v>5</v>
      </c>
      <c r="W163" s="12">
        <f t="shared" si="22"/>
        <v>0.5</v>
      </c>
      <c r="X163" s="9" t="s">
        <v>97</v>
      </c>
      <c r="Y163" s="7" t="s">
        <v>87</v>
      </c>
      <c r="Z163" s="7" t="s">
        <v>765</v>
      </c>
      <c r="AA163" s="9" t="str">
        <f t="shared" si="23"/>
        <v/>
      </c>
      <c r="AB163" s="13">
        <f t="shared" si="24"/>
        <v>5109837</v>
      </c>
      <c r="AC163" s="13">
        <f t="shared" si="25"/>
        <v>0</v>
      </c>
      <c r="AD163" s="13">
        <f t="shared" si="26"/>
        <v>5109837</v>
      </c>
    </row>
    <row r="164" spans="1:30" ht="51" x14ac:dyDescent="0.25">
      <c r="A164" s="7">
        <f t="shared" si="18"/>
        <v>150</v>
      </c>
      <c r="B164" s="7" t="s">
        <v>810</v>
      </c>
      <c r="C164" s="7" t="s">
        <v>107</v>
      </c>
      <c r="D164" s="8" t="str">
        <f>INDEX('Summary by Assessment'!$C$5:$C$101,MATCH(C164,'Summary by Assessment'!$B$5:$B$101,0))</f>
        <v>Fremantle</v>
      </c>
      <c r="E164" s="9" t="s">
        <v>108</v>
      </c>
      <c r="F164" s="9" t="s">
        <v>50</v>
      </c>
      <c r="G164" s="9" t="s">
        <v>51</v>
      </c>
      <c r="H164" s="7" t="s">
        <v>101</v>
      </c>
      <c r="I164" s="7" t="s">
        <v>39</v>
      </c>
      <c r="J164" s="9" t="s">
        <v>803</v>
      </c>
      <c r="K164" s="9" t="s">
        <v>94</v>
      </c>
      <c r="L164" s="9" t="s">
        <v>804</v>
      </c>
      <c r="M164" s="10">
        <v>5</v>
      </c>
      <c r="N164" s="10">
        <v>2</v>
      </c>
      <c r="O164" s="7">
        <f t="shared" si="19"/>
        <v>10</v>
      </c>
      <c r="P164" s="7" t="str">
        <f>INDEX('Scales &amp; Matrix'!$B$13:$F$17,6-N164,M164)</f>
        <v>High</v>
      </c>
      <c r="Q164" s="9" t="s">
        <v>811</v>
      </c>
      <c r="R164" s="10">
        <v>5</v>
      </c>
      <c r="S164" s="10">
        <v>1</v>
      </c>
      <c r="T164" s="7">
        <f t="shared" si="20"/>
        <v>5</v>
      </c>
      <c r="U164" s="7" t="str">
        <f>INDEX('Scales &amp; Matrix'!$B$13:$F$17,6-S164,R164)</f>
        <v>Moderate</v>
      </c>
      <c r="V164" s="11">
        <f t="shared" si="21"/>
        <v>5</v>
      </c>
      <c r="W164" s="12">
        <f t="shared" si="22"/>
        <v>0.5</v>
      </c>
      <c r="X164" s="9" t="s">
        <v>105</v>
      </c>
      <c r="Y164" s="7" t="s">
        <v>87</v>
      </c>
      <c r="Z164" s="7" t="s">
        <v>765</v>
      </c>
      <c r="AA164" s="9" t="str">
        <f t="shared" si="23"/>
        <v/>
      </c>
      <c r="AB164" s="13">
        <f t="shared" si="24"/>
        <v>5109836</v>
      </c>
      <c r="AC164" s="13">
        <f t="shared" si="25"/>
        <v>0</v>
      </c>
      <c r="AD164" s="13">
        <f t="shared" si="26"/>
        <v>5109836</v>
      </c>
    </row>
    <row r="165" spans="1:30" ht="51" x14ac:dyDescent="0.25">
      <c r="A165" s="7">
        <f t="shared" si="18"/>
        <v>150</v>
      </c>
      <c r="B165" s="7" t="s">
        <v>812</v>
      </c>
      <c r="C165" s="7" t="s">
        <v>107</v>
      </c>
      <c r="D165" s="8" t="str">
        <f>INDEX('Summary by Assessment'!$C$5:$C$101,MATCH(C165,'Summary by Assessment'!$B$5:$B$101,0))</f>
        <v>Fremantle</v>
      </c>
      <c r="E165" s="9" t="s">
        <v>108</v>
      </c>
      <c r="F165" s="9" t="s">
        <v>50</v>
      </c>
      <c r="G165" s="9" t="s">
        <v>51</v>
      </c>
      <c r="H165" s="7" t="s">
        <v>101</v>
      </c>
      <c r="I165" s="7" t="s">
        <v>62</v>
      </c>
      <c r="J165" s="9" t="s">
        <v>807</v>
      </c>
      <c r="K165" s="9" t="s">
        <v>94</v>
      </c>
      <c r="L165" s="9" t="s">
        <v>808</v>
      </c>
      <c r="M165" s="10">
        <v>5</v>
      </c>
      <c r="N165" s="10">
        <v>2</v>
      </c>
      <c r="O165" s="7">
        <f t="shared" si="19"/>
        <v>10</v>
      </c>
      <c r="P165" s="7" t="str">
        <f>INDEX('Scales &amp; Matrix'!$B$13:$F$17,6-N165,M165)</f>
        <v>High</v>
      </c>
      <c r="Q165" s="9" t="s">
        <v>809</v>
      </c>
      <c r="R165" s="10">
        <v>5</v>
      </c>
      <c r="S165" s="10">
        <v>1</v>
      </c>
      <c r="T165" s="7">
        <f t="shared" si="20"/>
        <v>5</v>
      </c>
      <c r="U165" s="7" t="str">
        <f>INDEX('Scales &amp; Matrix'!$B$13:$F$17,6-S165,R165)</f>
        <v>Moderate</v>
      </c>
      <c r="V165" s="11">
        <f t="shared" si="21"/>
        <v>5</v>
      </c>
      <c r="W165" s="12">
        <f t="shared" si="22"/>
        <v>0.5</v>
      </c>
      <c r="X165" s="9" t="s">
        <v>105</v>
      </c>
      <c r="Y165" s="7" t="s">
        <v>87</v>
      </c>
      <c r="Z165" s="7" t="s">
        <v>765</v>
      </c>
      <c r="AA165" s="9" t="str">
        <f t="shared" si="23"/>
        <v/>
      </c>
      <c r="AB165" s="13">
        <f t="shared" si="24"/>
        <v>5109835</v>
      </c>
      <c r="AC165" s="13">
        <f t="shared" si="25"/>
        <v>0</v>
      </c>
      <c r="AD165" s="13">
        <f t="shared" si="26"/>
        <v>5109835</v>
      </c>
    </row>
    <row r="166" spans="1:30" ht="51" x14ac:dyDescent="0.25">
      <c r="A166" s="7">
        <f t="shared" si="18"/>
        <v>150</v>
      </c>
      <c r="B166" s="7" t="s">
        <v>813</v>
      </c>
      <c r="C166" s="7" t="s">
        <v>119</v>
      </c>
      <c r="D166" s="8" t="str">
        <f>INDEX('Summary by Assessment'!$C$5:$C$101,MATCH(C166,'Summary by Assessment'!$B$5:$B$101,0))</f>
        <v>Perth</v>
      </c>
      <c r="E166" s="9" t="s">
        <v>120</v>
      </c>
      <c r="F166" s="9" t="s">
        <v>50</v>
      </c>
      <c r="G166" s="9" t="s">
        <v>51</v>
      </c>
      <c r="H166" s="7" t="s">
        <v>112</v>
      </c>
      <c r="I166" s="7" t="s">
        <v>39</v>
      </c>
      <c r="J166" s="9" t="s">
        <v>803</v>
      </c>
      <c r="K166" s="9" t="s">
        <v>94</v>
      </c>
      <c r="L166" s="9" t="s">
        <v>804</v>
      </c>
      <c r="M166" s="10">
        <v>5</v>
      </c>
      <c r="N166" s="10">
        <v>2</v>
      </c>
      <c r="O166" s="7">
        <f t="shared" si="19"/>
        <v>10</v>
      </c>
      <c r="P166" s="7" t="str">
        <f>INDEX('Scales &amp; Matrix'!$B$13:$F$17,6-N166,M166)</f>
        <v>High</v>
      </c>
      <c r="Q166" s="9" t="s">
        <v>805</v>
      </c>
      <c r="R166" s="10">
        <v>5</v>
      </c>
      <c r="S166" s="10">
        <v>1</v>
      </c>
      <c r="T166" s="7">
        <f t="shared" si="20"/>
        <v>5</v>
      </c>
      <c r="U166" s="7" t="str">
        <f>INDEX('Scales &amp; Matrix'!$B$13:$F$17,6-S166,R166)</f>
        <v>Moderate</v>
      </c>
      <c r="V166" s="11">
        <f t="shared" si="21"/>
        <v>5</v>
      </c>
      <c r="W166" s="12">
        <f t="shared" si="22"/>
        <v>0.5</v>
      </c>
      <c r="X166" s="9" t="s">
        <v>97</v>
      </c>
      <c r="Y166" s="7" t="s">
        <v>87</v>
      </c>
      <c r="Z166" s="7" t="s">
        <v>765</v>
      </c>
      <c r="AA166" s="9" t="str">
        <f t="shared" si="23"/>
        <v/>
      </c>
      <c r="AB166" s="13">
        <f t="shared" si="24"/>
        <v>5109834</v>
      </c>
      <c r="AC166" s="13">
        <f t="shared" si="25"/>
        <v>5109834</v>
      </c>
      <c r="AD166" s="13">
        <f t="shared" si="26"/>
        <v>0</v>
      </c>
    </row>
    <row r="167" spans="1:30" ht="51" x14ac:dyDescent="0.25">
      <c r="A167" s="7">
        <f t="shared" si="18"/>
        <v>150</v>
      </c>
      <c r="B167" s="7" t="s">
        <v>814</v>
      </c>
      <c r="C167" s="7" t="s">
        <v>119</v>
      </c>
      <c r="D167" s="8" t="str">
        <f>INDEX('Summary by Assessment'!$C$5:$C$101,MATCH(C167,'Summary by Assessment'!$B$5:$B$101,0))</f>
        <v>Perth</v>
      </c>
      <c r="E167" s="9" t="s">
        <v>120</v>
      </c>
      <c r="F167" s="9" t="s">
        <v>50</v>
      </c>
      <c r="G167" s="9" t="s">
        <v>51</v>
      </c>
      <c r="H167" s="7" t="s">
        <v>112</v>
      </c>
      <c r="I167" s="7" t="s">
        <v>62</v>
      </c>
      <c r="J167" s="9" t="s">
        <v>807</v>
      </c>
      <c r="K167" s="9" t="s">
        <v>94</v>
      </c>
      <c r="L167" s="9" t="s">
        <v>808</v>
      </c>
      <c r="M167" s="10">
        <v>5</v>
      </c>
      <c r="N167" s="10">
        <v>2</v>
      </c>
      <c r="O167" s="7">
        <f t="shared" si="19"/>
        <v>10</v>
      </c>
      <c r="P167" s="7" t="str">
        <f>INDEX('Scales &amp; Matrix'!$B$13:$F$17,6-N167,M167)</f>
        <v>High</v>
      </c>
      <c r="Q167" s="9" t="s">
        <v>809</v>
      </c>
      <c r="R167" s="10">
        <v>5</v>
      </c>
      <c r="S167" s="10">
        <v>1</v>
      </c>
      <c r="T167" s="7">
        <f t="shared" si="20"/>
        <v>5</v>
      </c>
      <c r="U167" s="7" t="str">
        <f>INDEX('Scales &amp; Matrix'!$B$13:$F$17,6-S167,R167)</f>
        <v>Moderate</v>
      </c>
      <c r="V167" s="11">
        <f t="shared" si="21"/>
        <v>5</v>
      </c>
      <c r="W167" s="12">
        <f t="shared" si="22"/>
        <v>0.5</v>
      </c>
      <c r="X167" s="9" t="s">
        <v>97</v>
      </c>
      <c r="Y167" s="7" t="s">
        <v>87</v>
      </c>
      <c r="Z167" s="7" t="s">
        <v>765</v>
      </c>
      <c r="AA167" s="9" t="str">
        <f t="shared" si="23"/>
        <v/>
      </c>
      <c r="AB167" s="13">
        <f t="shared" si="24"/>
        <v>5109833</v>
      </c>
      <c r="AC167" s="13">
        <f t="shared" si="25"/>
        <v>5109833</v>
      </c>
      <c r="AD167" s="13">
        <f t="shared" si="26"/>
        <v>0</v>
      </c>
    </row>
    <row r="168" spans="1:30" ht="102" x14ac:dyDescent="0.25">
      <c r="A168" s="7">
        <f t="shared" si="18"/>
        <v>164</v>
      </c>
      <c r="B168" s="7" t="s">
        <v>815</v>
      </c>
      <c r="C168" s="7" t="s">
        <v>797</v>
      </c>
      <c r="D168" s="8" t="str">
        <f>INDEX('Summary by Assessment'!$C$5:$C$101,MATCH(C168,'Summary by Assessment'!$B$5:$B$101,0))</f>
        <v>Fremantle</v>
      </c>
      <c r="E168" s="9" t="s">
        <v>798</v>
      </c>
      <c r="F168" s="9" t="s">
        <v>50</v>
      </c>
      <c r="G168" s="9" t="s">
        <v>51</v>
      </c>
      <c r="H168" s="7" t="s">
        <v>91</v>
      </c>
      <c r="I168" s="7" t="s">
        <v>62</v>
      </c>
      <c r="J168" s="9" t="s">
        <v>816</v>
      </c>
      <c r="K168" s="9" t="s">
        <v>817</v>
      </c>
      <c r="L168" s="9" t="s">
        <v>818</v>
      </c>
      <c r="M168" s="10">
        <v>4</v>
      </c>
      <c r="N168" s="10">
        <v>4</v>
      </c>
      <c r="O168" s="7">
        <f t="shared" si="19"/>
        <v>16</v>
      </c>
      <c r="P168" s="7" t="str">
        <f>INDEX('Scales &amp; Matrix'!$B$13:$F$17,6-N168,M168)</f>
        <v>High</v>
      </c>
      <c r="Q168" s="9" t="s">
        <v>819</v>
      </c>
      <c r="R168" s="10">
        <v>2</v>
      </c>
      <c r="S168" s="10">
        <v>2</v>
      </c>
      <c r="T168" s="7">
        <f t="shared" si="20"/>
        <v>4</v>
      </c>
      <c r="U168" s="7" t="str">
        <f>INDEX('Scales &amp; Matrix'!$B$13:$F$17,6-S168,R168)</f>
        <v>Low</v>
      </c>
      <c r="V168" s="11">
        <f t="shared" si="21"/>
        <v>12</v>
      </c>
      <c r="W168" s="12">
        <f t="shared" si="22"/>
        <v>0.75</v>
      </c>
      <c r="X168" s="9" t="s">
        <v>67</v>
      </c>
      <c r="Y168" s="7" t="s">
        <v>142</v>
      </c>
      <c r="Z168" s="7" t="s">
        <v>742</v>
      </c>
      <c r="AA168" s="9" t="str">
        <f t="shared" si="23"/>
        <v/>
      </c>
      <c r="AB168" s="13">
        <f t="shared" si="24"/>
        <v>4169832</v>
      </c>
      <c r="AC168" s="13">
        <f t="shared" si="25"/>
        <v>0</v>
      </c>
      <c r="AD168" s="13">
        <f t="shared" si="26"/>
        <v>4169832</v>
      </c>
    </row>
    <row r="169" spans="1:30" ht="51" x14ac:dyDescent="0.25">
      <c r="A169" s="7">
        <f t="shared" si="18"/>
        <v>164</v>
      </c>
      <c r="B169" s="7" t="s">
        <v>820</v>
      </c>
      <c r="C169" s="7" t="s">
        <v>274</v>
      </c>
      <c r="D169" s="8" t="str">
        <f>INDEX('Summary by Assessment'!$C$5:$C$101,MATCH(C169,'Summary by Assessment'!$B$5:$B$101,0))</f>
        <v>Fremantle</v>
      </c>
      <c r="E169" s="9" t="s">
        <v>275</v>
      </c>
      <c r="F169" s="9" t="s">
        <v>36</v>
      </c>
      <c r="G169" s="9" t="s">
        <v>51</v>
      </c>
      <c r="H169" s="7" t="s">
        <v>71</v>
      </c>
      <c r="I169" s="7" t="s">
        <v>53</v>
      </c>
      <c r="J169" s="9" t="s">
        <v>821</v>
      </c>
      <c r="K169" s="9" t="s">
        <v>64</v>
      </c>
      <c r="L169" s="9" t="s">
        <v>822</v>
      </c>
      <c r="M169" s="10">
        <v>4</v>
      </c>
      <c r="N169" s="10">
        <v>4</v>
      </c>
      <c r="O169" s="7">
        <f t="shared" si="19"/>
        <v>16</v>
      </c>
      <c r="P169" s="7" t="str">
        <f>INDEX('Scales &amp; Matrix'!$B$13:$F$17,6-N169,M169)</f>
        <v>High</v>
      </c>
      <c r="Q169" s="9" t="s">
        <v>823</v>
      </c>
      <c r="R169" s="10">
        <v>2</v>
      </c>
      <c r="S169" s="10">
        <v>2</v>
      </c>
      <c r="T169" s="7">
        <f t="shared" si="20"/>
        <v>4</v>
      </c>
      <c r="U169" s="7" t="str">
        <f>INDEX('Scales &amp; Matrix'!$B$13:$F$17,6-S169,R169)</f>
        <v>Low</v>
      </c>
      <c r="V169" s="11">
        <f t="shared" si="21"/>
        <v>12</v>
      </c>
      <c r="W169" s="12">
        <f t="shared" si="22"/>
        <v>0.75</v>
      </c>
      <c r="X169" s="9" t="s">
        <v>67</v>
      </c>
      <c r="Y169" s="7" t="s">
        <v>142</v>
      </c>
      <c r="Z169" s="7" t="s">
        <v>742</v>
      </c>
      <c r="AA169" s="9" t="str">
        <f t="shared" si="23"/>
        <v/>
      </c>
      <c r="AB169" s="13">
        <f t="shared" si="24"/>
        <v>4169831</v>
      </c>
      <c r="AC169" s="13">
        <f t="shared" si="25"/>
        <v>0</v>
      </c>
      <c r="AD169" s="13">
        <f t="shared" si="26"/>
        <v>4169831</v>
      </c>
    </row>
    <row r="170" spans="1:30" ht="89.25" x14ac:dyDescent="0.25">
      <c r="A170" s="7">
        <f t="shared" si="18"/>
        <v>164</v>
      </c>
      <c r="B170" s="7" t="s">
        <v>824</v>
      </c>
      <c r="C170" s="7" t="s">
        <v>797</v>
      </c>
      <c r="D170" s="8" t="str">
        <f>INDEX('Summary by Assessment'!$C$5:$C$101,MATCH(C170,'Summary by Assessment'!$B$5:$B$101,0))</f>
        <v>Fremantle</v>
      </c>
      <c r="E170" s="9" t="s">
        <v>798</v>
      </c>
      <c r="F170" s="9" t="s">
        <v>50</v>
      </c>
      <c r="G170" s="9" t="s">
        <v>51</v>
      </c>
      <c r="H170" s="7" t="s">
        <v>91</v>
      </c>
      <c r="I170" s="7" t="s">
        <v>218</v>
      </c>
      <c r="J170" s="9" t="s">
        <v>825</v>
      </c>
      <c r="K170" s="9" t="s">
        <v>543</v>
      </c>
      <c r="L170" s="9" t="s">
        <v>826</v>
      </c>
      <c r="M170" s="10">
        <v>5</v>
      </c>
      <c r="N170" s="10">
        <v>3</v>
      </c>
      <c r="O170" s="7">
        <f t="shared" si="19"/>
        <v>15</v>
      </c>
      <c r="P170" s="7" t="str">
        <f>INDEX('Scales &amp; Matrix'!$B$13:$F$17,6-N170,M170)</f>
        <v>High</v>
      </c>
      <c r="Q170" s="9" t="s">
        <v>827</v>
      </c>
      <c r="R170" s="10">
        <v>2</v>
      </c>
      <c r="S170" s="10">
        <v>2</v>
      </c>
      <c r="T170" s="7">
        <f t="shared" si="20"/>
        <v>4</v>
      </c>
      <c r="U170" s="7" t="str">
        <f>INDEX('Scales &amp; Matrix'!$B$13:$F$17,6-S170,R170)</f>
        <v>Low</v>
      </c>
      <c r="V170" s="11">
        <f t="shared" si="21"/>
        <v>11</v>
      </c>
      <c r="W170" s="12">
        <f t="shared" si="22"/>
        <v>0.73333333333333328</v>
      </c>
      <c r="X170" s="9" t="s">
        <v>67</v>
      </c>
      <c r="Y170" s="7" t="s">
        <v>45</v>
      </c>
      <c r="Z170" s="7" t="s">
        <v>742</v>
      </c>
      <c r="AA170" s="9" t="str">
        <f t="shared" si="23"/>
        <v/>
      </c>
      <c r="AB170" s="13">
        <f t="shared" si="24"/>
        <v>4159830</v>
      </c>
      <c r="AC170" s="13">
        <f t="shared" si="25"/>
        <v>0</v>
      </c>
      <c r="AD170" s="13">
        <f t="shared" si="26"/>
        <v>4159830</v>
      </c>
    </row>
    <row r="171" spans="1:30" ht="51" x14ac:dyDescent="0.25">
      <c r="A171" s="7">
        <f t="shared" si="18"/>
        <v>164</v>
      </c>
      <c r="B171" s="7" t="s">
        <v>828</v>
      </c>
      <c r="C171" s="7" t="s">
        <v>547</v>
      </c>
      <c r="D171" s="8" t="str">
        <f>INDEX('Summary by Assessment'!$C$5:$C$101,MATCH(C171,'Summary by Assessment'!$B$5:$B$101,0))</f>
        <v>Fremantle</v>
      </c>
      <c r="E171" s="9" t="s">
        <v>548</v>
      </c>
      <c r="F171" s="9" t="s">
        <v>232</v>
      </c>
      <c r="G171" s="9" t="s">
        <v>51</v>
      </c>
      <c r="H171" s="7" t="s">
        <v>549</v>
      </c>
      <c r="I171" s="7" t="s">
        <v>39</v>
      </c>
      <c r="J171" s="9" t="s">
        <v>829</v>
      </c>
      <c r="K171" s="9" t="s">
        <v>830</v>
      </c>
      <c r="L171" s="9" t="s">
        <v>831</v>
      </c>
      <c r="M171" s="10">
        <v>5</v>
      </c>
      <c r="N171" s="10">
        <v>3</v>
      </c>
      <c r="O171" s="7">
        <f t="shared" si="19"/>
        <v>15</v>
      </c>
      <c r="P171" s="7" t="str">
        <f>INDEX('Scales &amp; Matrix'!$B$13:$F$17,6-N171,M171)</f>
        <v>High</v>
      </c>
      <c r="Q171" s="9" t="s">
        <v>832</v>
      </c>
      <c r="R171" s="10">
        <v>2</v>
      </c>
      <c r="S171" s="10">
        <v>2</v>
      </c>
      <c r="T171" s="7">
        <f t="shared" si="20"/>
        <v>4</v>
      </c>
      <c r="U171" s="7" t="str">
        <f>INDEX('Scales &amp; Matrix'!$B$13:$F$17,6-S171,R171)</f>
        <v>Low</v>
      </c>
      <c r="V171" s="11">
        <f t="shared" si="21"/>
        <v>11</v>
      </c>
      <c r="W171" s="12">
        <f t="shared" si="22"/>
        <v>0.73333333333333328</v>
      </c>
      <c r="X171" s="9" t="s">
        <v>97</v>
      </c>
      <c r="Y171" s="7" t="s">
        <v>45</v>
      </c>
      <c r="Z171" s="7" t="s">
        <v>742</v>
      </c>
      <c r="AA171" s="9" t="str">
        <f t="shared" si="23"/>
        <v/>
      </c>
      <c r="AB171" s="13">
        <f t="shared" si="24"/>
        <v>4159829</v>
      </c>
      <c r="AC171" s="13">
        <f t="shared" si="25"/>
        <v>0</v>
      </c>
      <c r="AD171" s="13">
        <f t="shared" si="26"/>
        <v>4159829</v>
      </c>
    </row>
    <row r="172" spans="1:30" ht="89.25" x14ac:dyDescent="0.25">
      <c r="A172" s="7">
        <f t="shared" si="18"/>
        <v>164</v>
      </c>
      <c r="B172" s="7" t="s">
        <v>833</v>
      </c>
      <c r="C172" s="7" t="s">
        <v>834</v>
      </c>
      <c r="D172" s="8" t="str">
        <f>INDEX('Summary by Assessment'!$C$5:$C$101,MATCH(C172,'Summary by Assessment'!$B$5:$B$101,0))</f>
        <v>Perth</v>
      </c>
      <c r="E172" s="9" t="s">
        <v>835</v>
      </c>
      <c r="F172" s="9" t="s">
        <v>232</v>
      </c>
      <c r="G172" s="9" t="s">
        <v>51</v>
      </c>
      <c r="H172" s="7" t="s">
        <v>836</v>
      </c>
      <c r="I172" s="7" t="s">
        <v>53</v>
      </c>
      <c r="J172" s="9" t="s">
        <v>837</v>
      </c>
      <c r="K172" s="9" t="s">
        <v>838</v>
      </c>
      <c r="L172" s="9" t="s">
        <v>839</v>
      </c>
      <c r="M172" s="10">
        <v>5</v>
      </c>
      <c r="N172" s="10">
        <v>3</v>
      </c>
      <c r="O172" s="7">
        <f t="shared" si="19"/>
        <v>15</v>
      </c>
      <c r="P172" s="7" t="str">
        <f>INDEX('Scales &amp; Matrix'!$B$13:$F$17,6-N172,M172)</f>
        <v>High</v>
      </c>
      <c r="Q172" s="9" t="s">
        <v>840</v>
      </c>
      <c r="R172" s="10">
        <v>2</v>
      </c>
      <c r="S172" s="10">
        <v>2</v>
      </c>
      <c r="T172" s="7">
        <f t="shared" si="20"/>
        <v>4</v>
      </c>
      <c r="U172" s="7" t="str">
        <f>INDEX('Scales &amp; Matrix'!$B$13:$F$17,6-S172,R172)</f>
        <v>Low</v>
      </c>
      <c r="V172" s="11">
        <f t="shared" si="21"/>
        <v>11</v>
      </c>
      <c r="W172" s="12">
        <f t="shared" si="22"/>
        <v>0.73333333333333328</v>
      </c>
      <c r="X172" s="9" t="s">
        <v>841</v>
      </c>
      <c r="Y172" s="7" t="s">
        <v>45</v>
      </c>
      <c r="Z172" s="7" t="s">
        <v>742</v>
      </c>
      <c r="AA172" s="9" t="str">
        <f t="shared" si="23"/>
        <v/>
      </c>
      <c r="AB172" s="13">
        <f t="shared" si="24"/>
        <v>4159828</v>
      </c>
      <c r="AC172" s="13">
        <f t="shared" si="25"/>
        <v>4159828</v>
      </c>
      <c r="AD172" s="13">
        <f t="shared" si="26"/>
        <v>0</v>
      </c>
    </row>
    <row r="173" spans="1:30" ht="51" x14ac:dyDescent="0.25">
      <c r="A173" s="7">
        <f t="shared" si="18"/>
        <v>164</v>
      </c>
      <c r="B173" s="7" t="s">
        <v>842</v>
      </c>
      <c r="C173" s="7" t="s">
        <v>555</v>
      </c>
      <c r="D173" s="8" t="str">
        <f>INDEX('Summary by Assessment'!$C$5:$C$101,MATCH(C173,'Summary by Assessment'!$B$5:$B$101,0))</f>
        <v>Perth</v>
      </c>
      <c r="E173" s="9" t="s">
        <v>548</v>
      </c>
      <c r="F173" s="9" t="s">
        <v>232</v>
      </c>
      <c r="G173" s="9" t="s">
        <v>51</v>
      </c>
      <c r="H173" s="7" t="s">
        <v>549</v>
      </c>
      <c r="I173" s="7" t="s">
        <v>39</v>
      </c>
      <c r="J173" s="9" t="s">
        <v>829</v>
      </c>
      <c r="K173" s="9" t="s">
        <v>830</v>
      </c>
      <c r="L173" s="9" t="s">
        <v>831</v>
      </c>
      <c r="M173" s="10">
        <v>5</v>
      </c>
      <c r="N173" s="10">
        <v>3</v>
      </c>
      <c r="O173" s="7">
        <f t="shared" si="19"/>
        <v>15</v>
      </c>
      <c r="P173" s="7" t="str">
        <f>INDEX('Scales &amp; Matrix'!$B$13:$F$17,6-N173,M173)</f>
        <v>High</v>
      </c>
      <c r="Q173" s="9" t="s">
        <v>832</v>
      </c>
      <c r="R173" s="10">
        <v>2</v>
      </c>
      <c r="S173" s="10">
        <v>2</v>
      </c>
      <c r="T173" s="7">
        <f t="shared" si="20"/>
        <v>4</v>
      </c>
      <c r="U173" s="7" t="str">
        <f>INDEX('Scales &amp; Matrix'!$B$13:$F$17,6-S173,R173)</f>
        <v>Low</v>
      </c>
      <c r="V173" s="11">
        <f t="shared" si="21"/>
        <v>11</v>
      </c>
      <c r="W173" s="12">
        <f t="shared" si="22"/>
        <v>0.73333333333333328</v>
      </c>
      <c r="X173" s="9" t="s">
        <v>97</v>
      </c>
      <c r="Y173" s="7" t="s">
        <v>45</v>
      </c>
      <c r="Z173" s="7" t="s">
        <v>742</v>
      </c>
      <c r="AA173" s="9" t="str">
        <f t="shared" si="23"/>
        <v/>
      </c>
      <c r="AB173" s="13">
        <f t="shared" si="24"/>
        <v>4159827</v>
      </c>
      <c r="AC173" s="13">
        <f t="shared" si="25"/>
        <v>4159827</v>
      </c>
      <c r="AD173" s="13">
        <f t="shared" si="26"/>
        <v>0</v>
      </c>
    </row>
    <row r="174" spans="1:30" ht="51" x14ac:dyDescent="0.25">
      <c r="A174" s="7">
        <f t="shared" si="18"/>
        <v>164</v>
      </c>
      <c r="B174" s="7" t="s">
        <v>843</v>
      </c>
      <c r="C174" s="7" t="s">
        <v>99</v>
      </c>
      <c r="D174" s="8" t="str">
        <f>INDEX('Summary by Assessment'!$C$5:$C$101,MATCH(C174,'Summary by Assessment'!$B$5:$B$101,0))</f>
        <v>Fremantle</v>
      </c>
      <c r="E174" s="9" t="s">
        <v>100</v>
      </c>
      <c r="F174" s="9" t="s">
        <v>50</v>
      </c>
      <c r="G174" s="9" t="s">
        <v>51</v>
      </c>
      <c r="H174" s="7" t="s">
        <v>101</v>
      </c>
      <c r="I174" s="7" t="s">
        <v>53</v>
      </c>
      <c r="J174" s="9" t="s">
        <v>844</v>
      </c>
      <c r="K174" s="9" t="s">
        <v>94</v>
      </c>
      <c r="L174" s="9" t="s">
        <v>845</v>
      </c>
      <c r="M174" s="10">
        <v>4</v>
      </c>
      <c r="N174" s="10">
        <v>3</v>
      </c>
      <c r="O174" s="7">
        <f t="shared" si="19"/>
        <v>12</v>
      </c>
      <c r="P174" s="7" t="str">
        <f>INDEX('Scales &amp; Matrix'!$B$13:$F$17,6-N174,M174)</f>
        <v>High</v>
      </c>
      <c r="Q174" s="9" t="s">
        <v>846</v>
      </c>
      <c r="R174" s="10">
        <v>4</v>
      </c>
      <c r="S174" s="10">
        <v>1</v>
      </c>
      <c r="T174" s="7">
        <f t="shared" si="20"/>
        <v>4</v>
      </c>
      <c r="U174" s="7" t="str">
        <f>INDEX('Scales &amp; Matrix'!$B$13:$F$17,6-S174,R174)</f>
        <v>Moderate</v>
      </c>
      <c r="V174" s="11">
        <f t="shared" si="21"/>
        <v>8</v>
      </c>
      <c r="W174" s="12">
        <f t="shared" si="22"/>
        <v>0.66666666666666663</v>
      </c>
      <c r="X174" s="9" t="s">
        <v>105</v>
      </c>
      <c r="Y174" s="7" t="s">
        <v>46</v>
      </c>
      <c r="Z174" s="7" t="s">
        <v>847</v>
      </c>
      <c r="AA174" s="9" t="str">
        <f t="shared" si="23"/>
        <v/>
      </c>
      <c r="AB174" s="13">
        <f t="shared" si="24"/>
        <v>4129826</v>
      </c>
      <c r="AC174" s="13">
        <f t="shared" si="25"/>
        <v>0</v>
      </c>
      <c r="AD174" s="13">
        <f t="shared" si="26"/>
        <v>4129826</v>
      </c>
    </row>
    <row r="175" spans="1:30" ht="102" x14ac:dyDescent="0.25">
      <c r="A175" s="7">
        <f t="shared" si="18"/>
        <v>164</v>
      </c>
      <c r="B175" s="7" t="s">
        <v>848</v>
      </c>
      <c r="C175" s="7" t="s">
        <v>385</v>
      </c>
      <c r="D175" s="8" t="str">
        <f>INDEX('Summary by Assessment'!$C$5:$C$101,MATCH(C175,'Summary by Assessment'!$B$5:$B$101,0))</f>
        <v>Perth</v>
      </c>
      <c r="E175" s="9" t="s">
        <v>386</v>
      </c>
      <c r="F175" s="9" t="s">
        <v>36</v>
      </c>
      <c r="G175" s="9" t="s">
        <v>51</v>
      </c>
      <c r="H175" s="7" t="s">
        <v>52</v>
      </c>
      <c r="I175" s="7" t="s">
        <v>92</v>
      </c>
      <c r="J175" s="9" t="s">
        <v>849</v>
      </c>
      <c r="K175" s="9" t="s">
        <v>850</v>
      </c>
      <c r="L175" s="9" t="s">
        <v>851</v>
      </c>
      <c r="M175" s="10">
        <v>4</v>
      </c>
      <c r="N175" s="10">
        <v>3</v>
      </c>
      <c r="O175" s="7">
        <f t="shared" si="19"/>
        <v>12</v>
      </c>
      <c r="P175" s="7" t="str">
        <f>INDEX('Scales &amp; Matrix'!$B$13:$F$17,6-N175,M175)</f>
        <v>High</v>
      </c>
      <c r="Q175" s="9" t="s">
        <v>852</v>
      </c>
      <c r="R175" s="10">
        <v>4</v>
      </c>
      <c r="S175" s="10">
        <v>1</v>
      </c>
      <c r="T175" s="7">
        <f t="shared" si="20"/>
        <v>4</v>
      </c>
      <c r="U175" s="7" t="str">
        <f>INDEX('Scales &amp; Matrix'!$B$13:$F$17,6-S175,R175)</f>
        <v>Moderate</v>
      </c>
      <c r="V175" s="11">
        <f t="shared" si="21"/>
        <v>8</v>
      </c>
      <c r="W175" s="12">
        <f t="shared" si="22"/>
        <v>0.66666666666666663</v>
      </c>
      <c r="X175" s="9" t="s">
        <v>67</v>
      </c>
      <c r="Y175" s="7" t="s">
        <v>46</v>
      </c>
      <c r="Z175" s="7" t="s">
        <v>847</v>
      </c>
      <c r="AA175" s="9" t="str">
        <f t="shared" si="23"/>
        <v/>
      </c>
      <c r="AB175" s="13">
        <f t="shared" si="24"/>
        <v>4129825</v>
      </c>
      <c r="AC175" s="13">
        <f t="shared" si="25"/>
        <v>4129825</v>
      </c>
      <c r="AD175" s="13">
        <f t="shared" si="26"/>
        <v>0</v>
      </c>
    </row>
    <row r="176" spans="1:30" ht="76.5" x14ac:dyDescent="0.25">
      <c r="A176" s="7">
        <f t="shared" si="18"/>
        <v>164</v>
      </c>
      <c r="B176" s="7" t="s">
        <v>853</v>
      </c>
      <c r="C176" s="7" t="s">
        <v>385</v>
      </c>
      <c r="D176" s="8" t="str">
        <f>INDEX('Summary by Assessment'!$C$5:$C$101,MATCH(C176,'Summary by Assessment'!$B$5:$B$101,0))</f>
        <v>Perth</v>
      </c>
      <c r="E176" s="9" t="s">
        <v>386</v>
      </c>
      <c r="F176" s="9" t="s">
        <v>36</v>
      </c>
      <c r="G176" s="9" t="s">
        <v>51</v>
      </c>
      <c r="H176" s="7" t="s">
        <v>52</v>
      </c>
      <c r="I176" s="7" t="s">
        <v>218</v>
      </c>
      <c r="J176" s="9" t="s">
        <v>854</v>
      </c>
      <c r="K176" s="9" t="s">
        <v>855</v>
      </c>
      <c r="L176" s="9" t="s">
        <v>856</v>
      </c>
      <c r="M176" s="10">
        <v>4</v>
      </c>
      <c r="N176" s="10">
        <v>3</v>
      </c>
      <c r="O176" s="7">
        <f t="shared" si="19"/>
        <v>12</v>
      </c>
      <c r="P176" s="7" t="str">
        <f>INDEX('Scales &amp; Matrix'!$B$13:$F$17,6-N176,M176)</f>
        <v>High</v>
      </c>
      <c r="Q176" s="9" t="s">
        <v>857</v>
      </c>
      <c r="R176" s="10">
        <v>4</v>
      </c>
      <c r="S176" s="10">
        <v>1</v>
      </c>
      <c r="T176" s="7">
        <f t="shared" si="20"/>
        <v>4</v>
      </c>
      <c r="U176" s="7" t="str">
        <f>INDEX('Scales &amp; Matrix'!$B$13:$F$17,6-S176,R176)</f>
        <v>Moderate</v>
      </c>
      <c r="V176" s="11">
        <f t="shared" si="21"/>
        <v>8</v>
      </c>
      <c r="W176" s="12">
        <f t="shared" si="22"/>
        <v>0.66666666666666663</v>
      </c>
      <c r="X176" s="9" t="s">
        <v>67</v>
      </c>
      <c r="Y176" s="7" t="s">
        <v>46</v>
      </c>
      <c r="Z176" s="7" t="s">
        <v>847</v>
      </c>
      <c r="AA176" s="9" t="str">
        <f t="shared" si="23"/>
        <v/>
      </c>
      <c r="AB176" s="13">
        <f t="shared" si="24"/>
        <v>4129824</v>
      </c>
      <c r="AC176" s="13">
        <f t="shared" si="25"/>
        <v>4129824</v>
      </c>
      <c r="AD176" s="13">
        <f t="shared" si="26"/>
        <v>0</v>
      </c>
    </row>
    <row r="177" spans="1:30" ht="51" x14ac:dyDescent="0.25">
      <c r="A177" s="7">
        <f t="shared" si="18"/>
        <v>164</v>
      </c>
      <c r="B177" s="7" t="s">
        <v>858</v>
      </c>
      <c r="C177" s="7" t="s">
        <v>122</v>
      </c>
      <c r="D177" s="8" t="str">
        <f>INDEX('Summary by Assessment'!$C$5:$C$101,MATCH(C177,'Summary by Assessment'!$B$5:$B$101,0))</f>
        <v>Perth</v>
      </c>
      <c r="E177" s="9" t="s">
        <v>123</v>
      </c>
      <c r="F177" s="9" t="s">
        <v>50</v>
      </c>
      <c r="G177" s="9" t="s">
        <v>51</v>
      </c>
      <c r="H177" s="7" t="s">
        <v>112</v>
      </c>
      <c r="I177" s="7" t="s">
        <v>53</v>
      </c>
      <c r="J177" s="9" t="s">
        <v>844</v>
      </c>
      <c r="K177" s="9" t="s">
        <v>94</v>
      </c>
      <c r="L177" s="9" t="s">
        <v>845</v>
      </c>
      <c r="M177" s="10">
        <v>4</v>
      </c>
      <c r="N177" s="10">
        <v>3</v>
      </c>
      <c r="O177" s="7">
        <f t="shared" si="19"/>
        <v>12</v>
      </c>
      <c r="P177" s="7" t="str">
        <f>INDEX('Scales &amp; Matrix'!$B$13:$F$17,6-N177,M177)</f>
        <v>High</v>
      </c>
      <c r="Q177" s="9" t="s">
        <v>846</v>
      </c>
      <c r="R177" s="10">
        <v>4</v>
      </c>
      <c r="S177" s="10">
        <v>1</v>
      </c>
      <c r="T177" s="7">
        <f t="shared" si="20"/>
        <v>4</v>
      </c>
      <c r="U177" s="7" t="str">
        <f>INDEX('Scales &amp; Matrix'!$B$13:$F$17,6-S177,R177)</f>
        <v>Moderate</v>
      </c>
      <c r="V177" s="11">
        <f t="shared" si="21"/>
        <v>8</v>
      </c>
      <c r="W177" s="12">
        <f t="shared" si="22"/>
        <v>0.66666666666666663</v>
      </c>
      <c r="X177" s="9" t="s">
        <v>97</v>
      </c>
      <c r="Y177" s="7" t="s">
        <v>46</v>
      </c>
      <c r="Z177" s="7" t="s">
        <v>847</v>
      </c>
      <c r="AA177" s="9" t="str">
        <f t="shared" si="23"/>
        <v/>
      </c>
      <c r="AB177" s="13">
        <f t="shared" si="24"/>
        <v>4129823</v>
      </c>
      <c r="AC177" s="13">
        <f t="shared" si="25"/>
        <v>4129823</v>
      </c>
      <c r="AD177" s="13">
        <f t="shared" si="26"/>
        <v>0</v>
      </c>
    </row>
    <row r="178" spans="1:30" ht="89.25" x14ac:dyDescent="0.25">
      <c r="A178" s="7">
        <f t="shared" si="18"/>
        <v>164</v>
      </c>
      <c r="B178" s="7" t="s">
        <v>859</v>
      </c>
      <c r="C178" s="7" t="s">
        <v>261</v>
      </c>
      <c r="D178" s="8" t="str">
        <f>INDEX('Summary by Assessment'!$C$5:$C$101,MATCH(C178,'Summary by Assessment'!$B$5:$B$101,0))</f>
        <v>Fremantle</v>
      </c>
      <c r="E178" s="9" t="s">
        <v>262</v>
      </c>
      <c r="F178" s="9" t="s">
        <v>50</v>
      </c>
      <c r="G178" s="9" t="s">
        <v>51</v>
      </c>
      <c r="H178" s="7" t="s">
        <v>71</v>
      </c>
      <c r="I178" s="7" t="s">
        <v>53</v>
      </c>
      <c r="J178" s="9" t="s">
        <v>860</v>
      </c>
      <c r="K178" s="9" t="s">
        <v>447</v>
      </c>
      <c r="L178" s="9" t="s">
        <v>861</v>
      </c>
      <c r="M178" s="10">
        <v>4</v>
      </c>
      <c r="N178" s="10">
        <v>3</v>
      </c>
      <c r="O178" s="7">
        <f t="shared" si="19"/>
        <v>12</v>
      </c>
      <c r="P178" s="7" t="str">
        <f>INDEX('Scales &amp; Matrix'!$B$13:$F$17,6-N178,M178)</f>
        <v>High</v>
      </c>
      <c r="Q178" s="9" t="s">
        <v>862</v>
      </c>
      <c r="R178" s="10">
        <v>2</v>
      </c>
      <c r="S178" s="10">
        <v>2</v>
      </c>
      <c r="T178" s="7">
        <f t="shared" si="20"/>
        <v>4</v>
      </c>
      <c r="U178" s="7" t="str">
        <f>INDEX('Scales &amp; Matrix'!$B$13:$F$17,6-S178,R178)</f>
        <v>Low</v>
      </c>
      <c r="V178" s="11">
        <f t="shared" si="21"/>
        <v>8</v>
      </c>
      <c r="W178" s="12">
        <f t="shared" si="22"/>
        <v>0.66666666666666663</v>
      </c>
      <c r="X178" s="9" t="s">
        <v>310</v>
      </c>
      <c r="Y178" s="7" t="s">
        <v>46</v>
      </c>
      <c r="Z178" s="7" t="s">
        <v>742</v>
      </c>
      <c r="AA178" s="9" t="str">
        <f t="shared" si="23"/>
        <v/>
      </c>
      <c r="AB178" s="13">
        <f t="shared" si="24"/>
        <v>4129822</v>
      </c>
      <c r="AC178" s="13">
        <f t="shared" si="25"/>
        <v>0</v>
      </c>
      <c r="AD178" s="13">
        <f t="shared" si="26"/>
        <v>4129822</v>
      </c>
    </row>
    <row r="179" spans="1:30" ht="63.75" x14ac:dyDescent="0.25">
      <c r="A179" s="7">
        <f t="shared" si="18"/>
        <v>164</v>
      </c>
      <c r="B179" s="7" t="s">
        <v>863</v>
      </c>
      <c r="C179" s="7" t="s">
        <v>261</v>
      </c>
      <c r="D179" s="8" t="str">
        <f>INDEX('Summary by Assessment'!$C$5:$C$101,MATCH(C179,'Summary by Assessment'!$B$5:$B$101,0))</f>
        <v>Fremantle</v>
      </c>
      <c r="E179" s="9" t="s">
        <v>262</v>
      </c>
      <c r="F179" s="9" t="s">
        <v>50</v>
      </c>
      <c r="G179" s="9" t="s">
        <v>51</v>
      </c>
      <c r="H179" s="7" t="s">
        <v>71</v>
      </c>
      <c r="I179" s="7" t="s">
        <v>62</v>
      </c>
      <c r="J179" s="9" t="s">
        <v>864</v>
      </c>
      <c r="K179" s="9" t="s">
        <v>865</v>
      </c>
      <c r="L179" s="9" t="s">
        <v>866</v>
      </c>
      <c r="M179" s="10">
        <v>4</v>
      </c>
      <c r="N179" s="10">
        <v>3</v>
      </c>
      <c r="O179" s="7">
        <f t="shared" si="19"/>
        <v>12</v>
      </c>
      <c r="P179" s="7" t="str">
        <f>INDEX('Scales &amp; Matrix'!$B$13:$F$17,6-N179,M179)</f>
        <v>High</v>
      </c>
      <c r="Q179" s="9" t="s">
        <v>867</v>
      </c>
      <c r="R179" s="10">
        <v>2</v>
      </c>
      <c r="S179" s="10">
        <v>2</v>
      </c>
      <c r="T179" s="7">
        <f t="shared" si="20"/>
        <v>4</v>
      </c>
      <c r="U179" s="7" t="str">
        <f>INDEX('Scales &amp; Matrix'!$B$13:$F$17,6-S179,R179)</f>
        <v>Low</v>
      </c>
      <c r="V179" s="11">
        <f t="shared" si="21"/>
        <v>8</v>
      </c>
      <c r="W179" s="12">
        <f t="shared" si="22"/>
        <v>0.66666666666666663</v>
      </c>
      <c r="X179" s="9" t="s">
        <v>221</v>
      </c>
      <c r="Y179" s="7" t="s">
        <v>46</v>
      </c>
      <c r="Z179" s="7" t="s">
        <v>742</v>
      </c>
      <c r="AA179" s="9" t="str">
        <f t="shared" si="23"/>
        <v/>
      </c>
      <c r="AB179" s="13">
        <f t="shared" si="24"/>
        <v>4129821</v>
      </c>
      <c r="AC179" s="13">
        <f t="shared" si="25"/>
        <v>0</v>
      </c>
      <c r="AD179" s="13">
        <f t="shared" si="26"/>
        <v>4129821</v>
      </c>
    </row>
    <row r="180" spans="1:30" ht="51" x14ac:dyDescent="0.25">
      <c r="A180" s="7">
        <f t="shared" si="18"/>
        <v>164</v>
      </c>
      <c r="B180" s="7" t="s">
        <v>868</v>
      </c>
      <c r="C180" s="7" t="s">
        <v>274</v>
      </c>
      <c r="D180" s="8" t="str">
        <f>INDEX('Summary by Assessment'!$C$5:$C$101,MATCH(C180,'Summary by Assessment'!$B$5:$B$101,0))</f>
        <v>Fremantle</v>
      </c>
      <c r="E180" s="9" t="s">
        <v>275</v>
      </c>
      <c r="F180" s="9" t="s">
        <v>36</v>
      </c>
      <c r="G180" s="9" t="s">
        <v>51</v>
      </c>
      <c r="H180" s="7" t="s">
        <v>71</v>
      </c>
      <c r="I180" s="7" t="s">
        <v>218</v>
      </c>
      <c r="J180" s="9" t="s">
        <v>869</v>
      </c>
      <c r="K180" s="9" t="s">
        <v>453</v>
      </c>
      <c r="L180" s="9" t="s">
        <v>870</v>
      </c>
      <c r="M180" s="10">
        <v>4</v>
      </c>
      <c r="N180" s="10">
        <v>3</v>
      </c>
      <c r="O180" s="7">
        <f t="shared" si="19"/>
        <v>12</v>
      </c>
      <c r="P180" s="7" t="str">
        <f>INDEX('Scales &amp; Matrix'!$B$13:$F$17,6-N180,M180)</f>
        <v>High</v>
      </c>
      <c r="Q180" s="9" t="s">
        <v>871</v>
      </c>
      <c r="R180" s="10">
        <v>2</v>
      </c>
      <c r="S180" s="10">
        <v>2</v>
      </c>
      <c r="T180" s="7">
        <f t="shared" si="20"/>
        <v>4</v>
      </c>
      <c r="U180" s="7" t="str">
        <f>INDEX('Scales &amp; Matrix'!$B$13:$F$17,6-S180,R180)</f>
        <v>Low</v>
      </c>
      <c r="V180" s="11">
        <f t="shared" si="21"/>
        <v>8</v>
      </c>
      <c r="W180" s="12">
        <f t="shared" si="22"/>
        <v>0.66666666666666663</v>
      </c>
      <c r="X180" s="9" t="s">
        <v>67</v>
      </c>
      <c r="Y180" s="7" t="s">
        <v>46</v>
      </c>
      <c r="Z180" s="7" t="s">
        <v>742</v>
      </c>
      <c r="AA180" s="9" t="str">
        <f t="shared" si="23"/>
        <v/>
      </c>
      <c r="AB180" s="13">
        <f t="shared" si="24"/>
        <v>4129820</v>
      </c>
      <c r="AC180" s="13">
        <f t="shared" si="25"/>
        <v>0</v>
      </c>
      <c r="AD180" s="13">
        <f t="shared" si="26"/>
        <v>4129820</v>
      </c>
    </row>
    <row r="181" spans="1:30" ht="76.5" x14ac:dyDescent="0.25">
      <c r="A181" s="7">
        <f t="shared" si="18"/>
        <v>164</v>
      </c>
      <c r="B181" s="7" t="s">
        <v>872</v>
      </c>
      <c r="C181" s="7" t="s">
        <v>498</v>
      </c>
      <c r="D181" s="8" t="str">
        <f>INDEX('Summary by Assessment'!$C$5:$C$101,MATCH(C181,'Summary by Assessment'!$B$5:$B$101,0))</f>
        <v>Fremantle</v>
      </c>
      <c r="E181" s="9" t="s">
        <v>499</v>
      </c>
      <c r="F181" s="9" t="s">
        <v>170</v>
      </c>
      <c r="G181" s="9" t="s">
        <v>51</v>
      </c>
      <c r="H181" s="7" t="s">
        <v>71</v>
      </c>
      <c r="I181" s="7" t="s">
        <v>53</v>
      </c>
      <c r="J181" s="9" t="s">
        <v>873</v>
      </c>
      <c r="K181" s="9" t="s">
        <v>874</v>
      </c>
      <c r="L181" s="9" t="s">
        <v>875</v>
      </c>
      <c r="M181" s="10">
        <v>4</v>
      </c>
      <c r="N181" s="10">
        <v>3</v>
      </c>
      <c r="O181" s="7">
        <f t="shared" si="19"/>
        <v>12</v>
      </c>
      <c r="P181" s="7" t="str">
        <f>INDEX('Scales &amp; Matrix'!$B$13:$F$17,6-N181,M181)</f>
        <v>High</v>
      </c>
      <c r="Q181" s="9" t="s">
        <v>876</v>
      </c>
      <c r="R181" s="10">
        <v>2</v>
      </c>
      <c r="S181" s="10">
        <v>2</v>
      </c>
      <c r="T181" s="7">
        <f t="shared" si="20"/>
        <v>4</v>
      </c>
      <c r="U181" s="7" t="str">
        <f>INDEX('Scales &amp; Matrix'!$B$13:$F$17,6-S181,R181)</f>
        <v>Low</v>
      </c>
      <c r="V181" s="11">
        <f t="shared" si="21"/>
        <v>8</v>
      </c>
      <c r="W181" s="12">
        <f t="shared" si="22"/>
        <v>0.66666666666666663</v>
      </c>
      <c r="X181" s="9" t="s">
        <v>67</v>
      </c>
      <c r="Y181" s="7" t="s">
        <v>46</v>
      </c>
      <c r="Z181" s="7" t="s">
        <v>742</v>
      </c>
      <c r="AA181" s="9" t="str">
        <f t="shared" si="23"/>
        <v/>
      </c>
      <c r="AB181" s="13">
        <f t="shared" si="24"/>
        <v>4129819</v>
      </c>
      <c r="AC181" s="13">
        <f t="shared" si="25"/>
        <v>0</v>
      </c>
      <c r="AD181" s="13">
        <f t="shared" si="26"/>
        <v>4129819</v>
      </c>
    </row>
    <row r="182" spans="1:30" ht="89.25" x14ac:dyDescent="0.25">
      <c r="A182" s="7">
        <f t="shared" si="18"/>
        <v>164</v>
      </c>
      <c r="B182" s="7" t="s">
        <v>877</v>
      </c>
      <c r="C182" s="7" t="s">
        <v>289</v>
      </c>
      <c r="D182" s="8" t="str">
        <f>INDEX('Summary by Assessment'!$C$5:$C$101,MATCH(C182,'Summary by Assessment'!$B$5:$B$101,0))</f>
        <v>Perth</v>
      </c>
      <c r="E182" s="9" t="s">
        <v>262</v>
      </c>
      <c r="F182" s="9" t="s">
        <v>50</v>
      </c>
      <c r="G182" s="9" t="s">
        <v>51</v>
      </c>
      <c r="H182" s="7" t="s">
        <v>52</v>
      </c>
      <c r="I182" s="7" t="s">
        <v>53</v>
      </c>
      <c r="J182" s="9" t="s">
        <v>860</v>
      </c>
      <c r="K182" s="9" t="s">
        <v>447</v>
      </c>
      <c r="L182" s="9" t="s">
        <v>861</v>
      </c>
      <c r="M182" s="10">
        <v>4</v>
      </c>
      <c r="N182" s="10">
        <v>3</v>
      </c>
      <c r="O182" s="7">
        <f t="shared" si="19"/>
        <v>12</v>
      </c>
      <c r="P182" s="7" t="str">
        <f>INDEX('Scales &amp; Matrix'!$B$13:$F$17,6-N182,M182)</f>
        <v>High</v>
      </c>
      <c r="Q182" s="9" t="s">
        <v>862</v>
      </c>
      <c r="R182" s="10">
        <v>2</v>
      </c>
      <c r="S182" s="10">
        <v>2</v>
      </c>
      <c r="T182" s="7">
        <f t="shared" si="20"/>
        <v>4</v>
      </c>
      <c r="U182" s="7" t="str">
        <f>INDEX('Scales &amp; Matrix'!$B$13:$F$17,6-S182,R182)</f>
        <v>Low</v>
      </c>
      <c r="V182" s="11">
        <f t="shared" si="21"/>
        <v>8</v>
      </c>
      <c r="W182" s="12">
        <f t="shared" si="22"/>
        <v>0.66666666666666663</v>
      </c>
      <c r="X182" s="9" t="s">
        <v>310</v>
      </c>
      <c r="Y182" s="7" t="s">
        <v>46</v>
      </c>
      <c r="Z182" s="7" t="s">
        <v>742</v>
      </c>
      <c r="AA182" s="9" t="str">
        <f t="shared" si="23"/>
        <v/>
      </c>
      <c r="AB182" s="13">
        <f t="shared" si="24"/>
        <v>4129818</v>
      </c>
      <c r="AC182" s="13">
        <f t="shared" si="25"/>
        <v>4129818</v>
      </c>
      <c r="AD182" s="13">
        <f t="shared" si="26"/>
        <v>0</v>
      </c>
    </row>
    <row r="183" spans="1:30" ht="63.75" x14ac:dyDescent="0.25">
      <c r="A183" s="7">
        <f t="shared" si="18"/>
        <v>164</v>
      </c>
      <c r="B183" s="7" t="s">
        <v>878</v>
      </c>
      <c r="C183" s="7" t="s">
        <v>289</v>
      </c>
      <c r="D183" s="8" t="str">
        <f>INDEX('Summary by Assessment'!$C$5:$C$101,MATCH(C183,'Summary by Assessment'!$B$5:$B$101,0))</f>
        <v>Perth</v>
      </c>
      <c r="E183" s="9" t="s">
        <v>262</v>
      </c>
      <c r="F183" s="9" t="s">
        <v>50</v>
      </c>
      <c r="G183" s="9" t="s">
        <v>51</v>
      </c>
      <c r="H183" s="7" t="s">
        <v>52</v>
      </c>
      <c r="I183" s="7" t="s">
        <v>62</v>
      </c>
      <c r="J183" s="9" t="s">
        <v>864</v>
      </c>
      <c r="K183" s="9" t="s">
        <v>865</v>
      </c>
      <c r="L183" s="9" t="s">
        <v>866</v>
      </c>
      <c r="M183" s="10">
        <v>4</v>
      </c>
      <c r="N183" s="10">
        <v>3</v>
      </c>
      <c r="O183" s="7">
        <f t="shared" si="19"/>
        <v>12</v>
      </c>
      <c r="P183" s="7" t="str">
        <f>INDEX('Scales &amp; Matrix'!$B$13:$F$17,6-N183,M183)</f>
        <v>High</v>
      </c>
      <c r="Q183" s="9" t="s">
        <v>867</v>
      </c>
      <c r="R183" s="10">
        <v>2</v>
      </c>
      <c r="S183" s="10">
        <v>2</v>
      </c>
      <c r="T183" s="7">
        <f t="shared" si="20"/>
        <v>4</v>
      </c>
      <c r="U183" s="7" t="str">
        <f>INDEX('Scales &amp; Matrix'!$B$13:$F$17,6-S183,R183)</f>
        <v>Low</v>
      </c>
      <c r="V183" s="11">
        <f t="shared" si="21"/>
        <v>8</v>
      </c>
      <c r="W183" s="12">
        <f t="shared" si="22"/>
        <v>0.66666666666666663</v>
      </c>
      <c r="X183" s="9" t="s">
        <v>221</v>
      </c>
      <c r="Y183" s="7" t="s">
        <v>46</v>
      </c>
      <c r="Z183" s="7" t="s">
        <v>742</v>
      </c>
      <c r="AA183" s="9" t="str">
        <f t="shared" si="23"/>
        <v/>
      </c>
      <c r="AB183" s="13">
        <f t="shared" si="24"/>
        <v>4129817</v>
      </c>
      <c r="AC183" s="13">
        <f t="shared" si="25"/>
        <v>4129817</v>
      </c>
      <c r="AD183" s="13">
        <f t="shared" si="26"/>
        <v>0</v>
      </c>
    </row>
    <row r="184" spans="1:30" ht="76.5" x14ac:dyDescent="0.25">
      <c r="A184" s="7">
        <f t="shared" si="18"/>
        <v>164</v>
      </c>
      <c r="B184" s="7" t="s">
        <v>879</v>
      </c>
      <c r="C184" s="7" t="s">
        <v>274</v>
      </c>
      <c r="D184" s="8" t="str">
        <f>INDEX('Summary by Assessment'!$C$5:$C$101,MATCH(C184,'Summary by Assessment'!$B$5:$B$101,0))</f>
        <v>Fremantle</v>
      </c>
      <c r="E184" s="9" t="s">
        <v>275</v>
      </c>
      <c r="F184" s="9" t="s">
        <v>36</v>
      </c>
      <c r="G184" s="9" t="s">
        <v>51</v>
      </c>
      <c r="H184" s="7" t="s">
        <v>71</v>
      </c>
      <c r="I184" s="7" t="s">
        <v>62</v>
      </c>
      <c r="J184" s="9" t="s">
        <v>880</v>
      </c>
      <c r="K184" s="9" t="s">
        <v>277</v>
      </c>
      <c r="L184" s="9" t="s">
        <v>881</v>
      </c>
      <c r="M184" s="10">
        <v>5</v>
      </c>
      <c r="N184" s="10">
        <v>2</v>
      </c>
      <c r="O184" s="7">
        <f t="shared" si="19"/>
        <v>10</v>
      </c>
      <c r="P184" s="7" t="str">
        <f>INDEX('Scales &amp; Matrix'!$B$13:$F$17,6-N184,M184)</f>
        <v>High</v>
      </c>
      <c r="Q184" s="9" t="s">
        <v>882</v>
      </c>
      <c r="R184" s="10">
        <v>4</v>
      </c>
      <c r="S184" s="10">
        <v>1</v>
      </c>
      <c r="T184" s="7">
        <f t="shared" si="20"/>
        <v>4</v>
      </c>
      <c r="U184" s="7" t="str">
        <f>INDEX('Scales &amp; Matrix'!$B$13:$F$17,6-S184,R184)</f>
        <v>Moderate</v>
      </c>
      <c r="V184" s="11">
        <f t="shared" si="21"/>
        <v>6</v>
      </c>
      <c r="W184" s="12">
        <f t="shared" si="22"/>
        <v>0.6</v>
      </c>
      <c r="X184" s="9" t="s">
        <v>883</v>
      </c>
      <c r="Y184" s="7" t="s">
        <v>87</v>
      </c>
      <c r="Z184" s="7" t="s">
        <v>847</v>
      </c>
      <c r="AA184" s="9" t="str">
        <f t="shared" si="23"/>
        <v/>
      </c>
      <c r="AB184" s="13">
        <f t="shared" si="24"/>
        <v>4109816</v>
      </c>
      <c r="AC184" s="13">
        <f t="shared" si="25"/>
        <v>0</v>
      </c>
      <c r="AD184" s="13">
        <f t="shared" si="26"/>
        <v>4109816</v>
      </c>
    </row>
    <row r="185" spans="1:30" ht="76.5" x14ac:dyDescent="0.25">
      <c r="A185" s="7">
        <f t="shared" si="18"/>
        <v>164</v>
      </c>
      <c r="B185" s="7" t="s">
        <v>884</v>
      </c>
      <c r="C185" s="7" t="s">
        <v>281</v>
      </c>
      <c r="D185" s="8" t="str">
        <f>INDEX('Summary by Assessment'!$C$5:$C$101,MATCH(C185,'Summary by Assessment'!$B$5:$B$101,0))</f>
        <v>Fremantle</v>
      </c>
      <c r="E185" s="9" t="s">
        <v>282</v>
      </c>
      <c r="F185" s="9" t="s">
        <v>50</v>
      </c>
      <c r="G185" s="9" t="s">
        <v>51</v>
      </c>
      <c r="H185" s="7" t="s">
        <v>71</v>
      </c>
      <c r="I185" s="7" t="s">
        <v>53</v>
      </c>
      <c r="J185" s="9" t="s">
        <v>885</v>
      </c>
      <c r="K185" s="9" t="s">
        <v>277</v>
      </c>
      <c r="L185" s="9" t="s">
        <v>886</v>
      </c>
      <c r="M185" s="10">
        <v>5</v>
      </c>
      <c r="N185" s="10">
        <v>2</v>
      </c>
      <c r="O185" s="7">
        <f t="shared" si="19"/>
        <v>10</v>
      </c>
      <c r="P185" s="7" t="str">
        <f>INDEX('Scales &amp; Matrix'!$B$13:$F$17,6-N185,M185)</f>
        <v>High</v>
      </c>
      <c r="Q185" s="9" t="s">
        <v>887</v>
      </c>
      <c r="R185" s="10">
        <v>4</v>
      </c>
      <c r="S185" s="10">
        <v>1</v>
      </c>
      <c r="T185" s="7">
        <f t="shared" si="20"/>
        <v>4</v>
      </c>
      <c r="U185" s="7" t="str">
        <f>INDEX('Scales &amp; Matrix'!$B$13:$F$17,6-S185,R185)</f>
        <v>Moderate</v>
      </c>
      <c r="V185" s="11">
        <f t="shared" si="21"/>
        <v>6</v>
      </c>
      <c r="W185" s="12">
        <f t="shared" si="22"/>
        <v>0.6</v>
      </c>
      <c r="X185" s="9" t="s">
        <v>67</v>
      </c>
      <c r="Y185" s="7" t="s">
        <v>87</v>
      </c>
      <c r="Z185" s="7" t="s">
        <v>847</v>
      </c>
      <c r="AA185" s="9" t="str">
        <f t="shared" si="23"/>
        <v/>
      </c>
      <c r="AB185" s="13">
        <f t="shared" si="24"/>
        <v>4109815</v>
      </c>
      <c r="AC185" s="13">
        <f t="shared" si="25"/>
        <v>0</v>
      </c>
      <c r="AD185" s="13">
        <f t="shared" si="26"/>
        <v>4109815</v>
      </c>
    </row>
    <row r="186" spans="1:30" ht="63.75" x14ac:dyDescent="0.25">
      <c r="A186" s="7">
        <f t="shared" si="18"/>
        <v>164</v>
      </c>
      <c r="B186" s="7" t="s">
        <v>888</v>
      </c>
      <c r="C186" s="7" t="s">
        <v>136</v>
      </c>
      <c r="D186" s="8" t="str">
        <f>INDEX('Summary by Assessment'!$C$5:$C$101,MATCH(C186,'Summary by Assessment'!$B$5:$B$101,0))</f>
        <v>Fremantle</v>
      </c>
      <c r="E186" s="9" t="s">
        <v>137</v>
      </c>
      <c r="F186" s="9" t="s">
        <v>36</v>
      </c>
      <c r="G186" s="9" t="s">
        <v>51</v>
      </c>
      <c r="H186" s="7" t="s">
        <v>71</v>
      </c>
      <c r="I186" s="7" t="s">
        <v>92</v>
      </c>
      <c r="J186" s="9" t="s">
        <v>140</v>
      </c>
      <c r="K186" s="9" t="s">
        <v>889</v>
      </c>
      <c r="L186" s="9" t="s">
        <v>890</v>
      </c>
      <c r="M186" s="10">
        <v>5</v>
      </c>
      <c r="N186" s="10">
        <v>2</v>
      </c>
      <c r="O186" s="7">
        <f t="shared" si="19"/>
        <v>10</v>
      </c>
      <c r="P186" s="7" t="str">
        <f>INDEX('Scales &amp; Matrix'!$B$13:$F$17,6-N186,M186)</f>
        <v>High</v>
      </c>
      <c r="Q186" s="9" t="s">
        <v>891</v>
      </c>
      <c r="R186" s="10">
        <v>2</v>
      </c>
      <c r="S186" s="10">
        <v>2</v>
      </c>
      <c r="T186" s="7">
        <f t="shared" si="20"/>
        <v>4</v>
      </c>
      <c r="U186" s="7" t="str">
        <f>INDEX('Scales &amp; Matrix'!$B$13:$F$17,6-S186,R186)</f>
        <v>Low</v>
      </c>
      <c r="V186" s="11">
        <f t="shared" si="21"/>
        <v>6</v>
      </c>
      <c r="W186" s="12">
        <f t="shared" si="22"/>
        <v>0.6</v>
      </c>
      <c r="X186" s="9" t="s">
        <v>67</v>
      </c>
      <c r="Y186" s="7" t="s">
        <v>87</v>
      </c>
      <c r="Z186" s="7" t="s">
        <v>742</v>
      </c>
      <c r="AA186" s="9" t="str">
        <f t="shared" si="23"/>
        <v/>
      </c>
      <c r="AB186" s="13">
        <f t="shared" si="24"/>
        <v>4109814</v>
      </c>
      <c r="AC186" s="13">
        <f t="shared" si="25"/>
        <v>0</v>
      </c>
      <c r="AD186" s="13">
        <f t="shared" si="26"/>
        <v>4109814</v>
      </c>
    </row>
    <row r="187" spans="1:30" ht="51" x14ac:dyDescent="0.25">
      <c r="A187" s="7">
        <f t="shared" si="18"/>
        <v>164</v>
      </c>
      <c r="B187" s="7" t="s">
        <v>892</v>
      </c>
      <c r="C187" s="7" t="s">
        <v>893</v>
      </c>
      <c r="D187" s="8" t="str">
        <f>INDEX('Summary by Assessment'!$C$5:$C$101,MATCH(C187,'Summary by Assessment'!$B$5:$B$101,0))</f>
        <v>Fremantle</v>
      </c>
      <c r="E187" s="9" t="s">
        <v>894</v>
      </c>
      <c r="F187" s="9" t="s">
        <v>50</v>
      </c>
      <c r="G187" s="9" t="s">
        <v>51</v>
      </c>
      <c r="H187" s="7" t="s">
        <v>91</v>
      </c>
      <c r="I187" s="7" t="s">
        <v>92</v>
      </c>
      <c r="J187" s="9" t="s">
        <v>895</v>
      </c>
      <c r="K187" s="9" t="s">
        <v>551</v>
      </c>
      <c r="L187" s="9" t="s">
        <v>896</v>
      </c>
      <c r="M187" s="10">
        <v>5</v>
      </c>
      <c r="N187" s="10">
        <v>2</v>
      </c>
      <c r="O187" s="7">
        <f t="shared" si="19"/>
        <v>10</v>
      </c>
      <c r="P187" s="7" t="str">
        <f>INDEX('Scales &amp; Matrix'!$B$13:$F$17,6-N187,M187)</f>
        <v>High</v>
      </c>
      <c r="Q187" s="9" t="s">
        <v>897</v>
      </c>
      <c r="R187" s="10">
        <v>2</v>
      </c>
      <c r="S187" s="10">
        <v>2</v>
      </c>
      <c r="T187" s="7">
        <f t="shared" si="20"/>
        <v>4</v>
      </c>
      <c r="U187" s="7" t="str">
        <f>INDEX('Scales &amp; Matrix'!$B$13:$F$17,6-S187,R187)</f>
        <v>Low</v>
      </c>
      <c r="V187" s="11">
        <f t="shared" si="21"/>
        <v>6</v>
      </c>
      <c r="W187" s="12">
        <f t="shared" si="22"/>
        <v>0.6</v>
      </c>
      <c r="X187" s="9" t="s">
        <v>898</v>
      </c>
      <c r="Y187" s="7" t="s">
        <v>87</v>
      </c>
      <c r="Z187" s="7" t="s">
        <v>742</v>
      </c>
      <c r="AA187" s="9" t="str">
        <f t="shared" si="23"/>
        <v/>
      </c>
      <c r="AB187" s="13">
        <f t="shared" si="24"/>
        <v>4109813</v>
      </c>
      <c r="AC187" s="13">
        <f t="shared" si="25"/>
        <v>0</v>
      </c>
      <c r="AD187" s="13">
        <f t="shared" si="26"/>
        <v>4109813</v>
      </c>
    </row>
    <row r="188" spans="1:30" ht="51" x14ac:dyDescent="0.25">
      <c r="A188" s="7">
        <f t="shared" si="18"/>
        <v>164</v>
      </c>
      <c r="B188" s="7" t="s">
        <v>899</v>
      </c>
      <c r="C188" s="7" t="s">
        <v>900</v>
      </c>
      <c r="D188" s="8" t="str">
        <f>INDEX('Summary by Assessment'!$C$5:$C$101,MATCH(C188,'Summary by Assessment'!$B$5:$B$101,0))</f>
        <v>Perth</v>
      </c>
      <c r="E188" s="9" t="s">
        <v>901</v>
      </c>
      <c r="F188" s="9" t="s">
        <v>50</v>
      </c>
      <c r="G188" s="9" t="s">
        <v>51</v>
      </c>
      <c r="H188" s="7" t="s">
        <v>902</v>
      </c>
      <c r="I188" s="7" t="s">
        <v>92</v>
      </c>
      <c r="J188" s="9" t="s">
        <v>895</v>
      </c>
      <c r="K188" s="9" t="s">
        <v>551</v>
      </c>
      <c r="L188" s="9" t="s">
        <v>896</v>
      </c>
      <c r="M188" s="10">
        <v>5</v>
      </c>
      <c r="N188" s="10">
        <v>2</v>
      </c>
      <c r="O188" s="7">
        <f t="shared" si="19"/>
        <v>10</v>
      </c>
      <c r="P188" s="7" t="str">
        <f>INDEX('Scales &amp; Matrix'!$B$13:$F$17,6-N188,M188)</f>
        <v>High</v>
      </c>
      <c r="Q188" s="9" t="s">
        <v>897</v>
      </c>
      <c r="R188" s="10">
        <v>2</v>
      </c>
      <c r="S188" s="10">
        <v>2</v>
      </c>
      <c r="T188" s="7">
        <f t="shared" si="20"/>
        <v>4</v>
      </c>
      <c r="U188" s="7" t="str">
        <f>INDEX('Scales &amp; Matrix'!$B$13:$F$17,6-S188,R188)</f>
        <v>Low</v>
      </c>
      <c r="V188" s="11">
        <f t="shared" si="21"/>
        <v>6</v>
      </c>
      <c r="W188" s="12">
        <f t="shared" si="22"/>
        <v>0.6</v>
      </c>
      <c r="X188" s="9" t="s">
        <v>898</v>
      </c>
      <c r="Y188" s="7" t="s">
        <v>87</v>
      </c>
      <c r="Z188" s="7" t="s">
        <v>742</v>
      </c>
      <c r="AA188" s="9" t="str">
        <f t="shared" si="23"/>
        <v/>
      </c>
      <c r="AB188" s="13">
        <f t="shared" si="24"/>
        <v>4109812</v>
      </c>
      <c r="AC188" s="13">
        <f t="shared" si="25"/>
        <v>4109812</v>
      </c>
      <c r="AD188" s="13">
        <f t="shared" si="26"/>
        <v>0</v>
      </c>
    </row>
    <row r="189" spans="1:30" ht="51" x14ac:dyDescent="0.25">
      <c r="A189" s="7">
        <f t="shared" si="18"/>
        <v>164</v>
      </c>
      <c r="B189" s="7" t="s">
        <v>903</v>
      </c>
      <c r="C189" s="7" t="s">
        <v>417</v>
      </c>
      <c r="D189" s="8" t="str">
        <f>INDEX('Summary by Assessment'!$C$5:$C$101,MATCH(C189,'Summary by Assessment'!$B$5:$B$101,0))</f>
        <v>Fremantle</v>
      </c>
      <c r="E189" s="9" t="s">
        <v>418</v>
      </c>
      <c r="F189" s="9" t="s">
        <v>50</v>
      </c>
      <c r="G189" s="9" t="s">
        <v>51</v>
      </c>
      <c r="H189" s="7" t="s">
        <v>71</v>
      </c>
      <c r="I189" s="7" t="s">
        <v>92</v>
      </c>
      <c r="J189" s="9" t="s">
        <v>904</v>
      </c>
      <c r="K189" s="9" t="s">
        <v>55</v>
      </c>
      <c r="L189" s="9" t="s">
        <v>905</v>
      </c>
      <c r="M189" s="10">
        <v>3</v>
      </c>
      <c r="N189" s="10">
        <v>3</v>
      </c>
      <c r="O189" s="7">
        <f t="shared" si="19"/>
        <v>9</v>
      </c>
      <c r="P189" s="7" t="str">
        <f>INDEX('Scales &amp; Matrix'!$B$13:$F$17,6-N189,M189)</f>
        <v>Moderate</v>
      </c>
      <c r="Q189" s="9" t="s">
        <v>906</v>
      </c>
      <c r="R189" s="10">
        <v>2</v>
      </c>
      <c r="S189" s="10">
        <v>2</v>
      </c>
      <c r="T189" s="7">
        <f t="shared" si="20"/>
        <v>4</v>
      </c>
      <c r="U189" s="7" t="str">
        <f>INDEX('Scales &amp; Matrix'!$B$13:$F$17,6-S189,R189)</f>
        <v>Low</v>
      </c>
      <c r="V189" s="11">
        <f t="shared" si="21"/>
        <v>5</v>
      </c>
      <c r="W189" s="12">
        <f t="shared" si="22"/>
        <v>0.55555555555555558</v>
      </c>
      <c r="X189" s="9" t="s">
        <v>176</v>
      </c>
      <c r="Y189" s="7" t="s">
        <v>76</v>
      </c>
      <c r="Z189" s="7" t="s">
        <v>742</v>
      </c>
      <c r="AA189" s="9" t="str">
        <f t="shared" si="23"/>
        <v/>
      </c>
      <c r="AB189" s="13">
        <f t="shared" si="24"/>
        <v>4099811</v>
      </c>
      <c r="AC189" s="13">
        <f t="shared" si="25"/>
        <v>0</v>
      </c>
      <c r="AD189" s="13">
        <f t="shared" si="26"/>
        <v>4099811</v>
      </c>
    </row>
    <row r="190" spans="1:30" ht="89.25" x14ac:dyDescent="0.25">
      <c r="A190" s="7">
        <f t="shared" si="18"/>
        <v>164</v>
      </c>
      <c r="B190" s="7" t="s">
        <v>907</v>
      </c>
      <c r="C190" s="7" t="s">
        <v>261</v>
      </c>
      <c r="D190" s="8" t="str">
        <f>INDEX('Summary by Assessment'!$C$5:$C$101,MATCH(C190,'Summary by Assessment'!$B$5:$B$101,0))</f>
        <v>Fremantle</v>
      </c>
      <c r="E190" s="9" t="s">
        <v>262</v>
      </c>
      <c r="F190" s="9" t="s">
        <v>50</v>
      </c>
      <c r="G190" s="9" t="s">
        <v>51</v>
      </c>
      <c r="H190" s="7" t="s">
        <v>71</v>
      </c>
      <c r="I190" s="7" t="s">
        <v>218</v>
      </c>
      <c r="J190" s="9" t="s">
        <v>908</v>
      </c>
      <c r="K190" s="9" t="s">
        <v>909</v>
      </c>
      <c r="L190" s="9" t="s">
        <v>910</v>
      </c>
      <c r="M190" s="10">
        <v>3</v>
      </c>
      <c r="N190" s="10">
        <v>3</v>
      </c>
      <c r="O190" s="7">
        <f t="shared" si="19"/>
        <v>9</v>
      </c>
      <c r="P190" s="7" t="str">
        <f>INDEX('Scales &amp; Matrix'!$B$13:$F$17,6-N190,M190)</f>
        <v>Moderate</v>
      </c>
      <c r="Q190" s="9" t="s">
        <v>911</v>
      </c>
      <c r="R190" s="10">
        <v>2</v>
      </c>
      <c r="S190" s="10">
        <v>2</v>
      </c>
      <c r="T190" s="7">
        <f t="shared" si="20"/>
        <v>4</v>
      </c>
      <c r="U190" s="7" t="str">
        <f>INDEX('Scales &amp; Matrix'!$B$13:$F$17,6-S190,R190)</f>
        <v>Low</v>
      </c>
      <c r="V190" s="11">
        <f t="shared" si="21"/>
        <v>5</v>
      </c>
      <c r="W190" s="12">
        <f t="shared" si="22"/>
        <v>0.55555555555555558</v>
      </c>
      <c r="X190" s="9" t="s">
        <v>221</v>
      </c>
      <c r="Y190" s="7" t="s">
        <v>76</v>
      </c>
      <c r="Z190" s="7" t="s">
        <v>742</v>
      </c>
      <c r="AA190" s="9" t="str">
        <f t="shared" si="23"/>
        <v/>
      </c>
      <c r="AB190" s="13">
        <f t="shared" si="24"/>
        <v>4099810</v>
      </c>
      <c r="AC190" s="13">
        <f t="shared" si="25"/>
        <v>0</v>
      </c>
      <c r="AD190" s="13">
        <f t="shared" si="26"/>
        <v>4099810</v>
      </c>
    </row>
    <row r="191" spans="1:30" ht="38.25" x14ac:dyDescent="0.25">
      <c r="A191" s="7">
        <f t="shared" si="18"/>
        <v>164</v>
      </c>
      <c r="B191" s="7" t="s">
        <v>912</v>
      </c>
      <c r="C191" s="7" t="s">
        <v>369</v>
      </c>
      <c r="D191" s="8" t="str">
        <f>INDEX('Summary by Assessment'!$C$5:$C$101,MATCH(C191,'Summary by Assessment'!$B$5:$B$101,0))</f>
        <v>Fremantle</v>
      </c>
      <c r="E191" s="9" t="s">
        <v>370</v>
      </c>
      <c r="F191" s="9" t="s">
        <v>36</v>
      </c>
      <c r="G191" s="9" t="s">
        <v>51</v>
      </c>
      <c r="H191" s="7" t="s">
        <v>91</v>
      </c>
      <c r="I191" s="7" t="s">
        <v>39</v>
      </c>
      <c r="J191" s="9" t="s">
        <v>913</v>
      </c>
      <c r="K191" s="9" t="s">
        <v>163</v>
      </c>
      <c r="L191" s="9" t="s">
        <v>914</v>
      </c>
      <c r="M191" s="10">
        <v>3</v>
      </c>
      <c r="N191" s="10">
        <v>3</v>
      </c>
      <c r="O191" s="7">
        <f t="shared" si="19"/>
        <v>9</v>
      </c>
      <c r="P191" s="7" t="str">
        <f>INDEX('Scales &amp; Matrix'!$B$13:$F$17,6-N191,M191)</f>
        <v>Moderate</v>
      </c>
      <c r="Q191" s="9" t="s">
        <v>915</v>
      </c>
      <c r="R191" s="10">
        <v>2</v>
      </c>
      <c r="S191" s="10">
        <v>2</v>
      </c>
      <c r="T191" s="7">
        <f t="shared" si="20"/>
        <v>4</v>
      </c>
      <c r="U191" s="7" t="str">
        <f>INDEX('Scales &amp; Matrix'!$B$13:$F$17,6-S191,R191)</f>
        <v>Low</v>
      </c>
      <c r="V191" s="11">
        <f t="shared" si="21"/>
        <v>5</v>
      </c>
      <c r="W191" s="12">
        <f t="shared" si="22"/>
        <v>0.55555555555555558</v>
      </c>
      <c r="X191" s="9" t="s">
        <v>916</v>
      </c>
      <c r="Y191" s="7" t="s">
        <v>76</v>
      </c>
      <c r="Z191" s="7" t="s">
        <v>742</v>
      </c>
      <c r="AA191" s="9" t="str">
        <f t="shared" si="23"/>
        <v/>
      </c>
      <c r="AB191" s="13">
        <f t="shared" si="24"/>
        <v>4099809</v>
      </c>
      <c r="AC191" s="13">
        <f t="shared" si="25"/>
        <v>0</v>
      </c>
      <c r="AD191" s="13">
        <f t="shared" si="26"/>
        <v>4099809</v>
      </c>
    </row>
    <row r="192" spans="1:30" ht="38.25" x14ac:dyDescent="0.25">
      <c r="A192" s="7">
        <f t="shared" si="18"/>
        <v>164</v>
      </c>
      <c r="B192" s="7" t="s">
        <v>917</v>
      </c>
      <c r="C192" s="7" t="s">
        <v>274</v>
      </c>
      <c r="D192" s="8" t="str">
        <f>INDEX('Summary by Assessment'!$C$5:$C$101,MATCH(C192,'Summary by Assessment'!$B$5:$B$101,0))</f>
        <v>Fremantle</v>
      </c>
      <c r="E192" s="9" t="s">
        <v>275</v>
      </c>
      <c r="F192" s="9" t="s">
        <v>36</v>
      </c>
      <c r="G192" s="9" t="s">
        <v>51</v>
      </c>
      <c r="H192" s="7" t="s">
        <v>71</v>
      </c>
      <c r="I192" s="7" t="s">
        <v>39</v>
      </c>
      <c r="J192" s="9" t="s">
        <v>918</v>
      </c>
      <c r="K192" s="9" t="s">
        <v>73</v>
      </c>
      <c r="L192" s="9" t="s">
        <v>919</v>
      </c>
      <c r="M192" s="10">
        <v>3</v>
      </c>
      <c r="N192" s="10">
        <v>3</v>
      </c>
      <c r="O192" s="7">
        <f t="shared" si="19"/>
        <v>9</v>
      </c>
      <c r="P192" s="7" t="str">
        <f>INDEX('Scales &amp; Matrix'!$B$13:$F$17,6-N192,M192)</f>
        <v>Moderate</v>
      </c>
      <c r="Q192" s="9" t="s">
        <v>920</v>
      </c>
      <c r="R192" s="10">
        <v>2</v>
      </c>
      <c r="S192" s="10">
        <v>2</v>
      </c>
      <c r="T192" s="7">
        <f t="shared" si="20"/>
        <v>4</v>
      </c>
      <c r="U192" s="7" t="str">
        <f>INDEX('Scales &amp; Matrix'!$B$13:$F$17,6-S192,R192)</f>
        <v>Low</v>
      </c>
      <c r="V192" s="11">
        <f t="shared" si="21"/>
        <v>5</v>
      </c>
      <c r="W192" s="12">
        <f t="shared" si="22"/>
        <v>0.55555555555555558</v>
      </c>
      <c r="X192" s="9" t="s">
        <v>67</v>
      </c>
      <c r="Y192" s="7" t="s">
        <v>76</v>
      </c>
      <c r="Z192" s="7" t="s">
        <v>742</v>
      </c>
      <c r="AA192" s="9" t="str">
        <f t="shared" si="23"/>
        <v/>
      </c>
      <c r="AB192" s="13">
        <f t="shared" si="24"/>
        <v>4099808</v>
      </c>
      <c r="AC192" s="13">
        <f t="shared" si="25"/>
        <v>0</v>
      </c>
      <c r="AD192" s="13">
        <f t="shared" si="26"/>
        <v>4099808</v>
      </c>
    </row>
    <row r="193" spans="1:30" ht="38.25" x14ac:dyDescent="0.25">
      <c r="A193" s="7">
        <f t="shared" si="18"/>
        <v>164</v>
      </c>
      <c r="B193" s="7" t="s">
        <v>921</v>
      </c>
      <c r="C193" s="7" t="s">
        <v>922</v>
      </c>
      <c r="D193" s="8" t="str">
        <f>INDEX('Summary by Assessment'!$C$5:$C$101,MATCH(C193,'Summary by Assessment'!$B$5:$B$101,0))</f>
        <v>Fremantle</v>
      </c>
      <c r="E193" s="9" t="s">
        <v>923</v>
      </c>
      <c r="F193" s="9" t="s">
        <v>36</v>
      </c>
      <c r="G193" s="9" t="s">
        <v>51</v>
      </c>
      <c r="H193" s="7" t="s">
        <v>924</v>
      </c>
      <c r="I193" s="7" t="s">
        <v>92</v>
      </c>
      <c r="J193" s="9" t="s">
        <v>925</v>
      </c>
      <c r="K193" s="9" t="s">
        <v>64</v>
      </c>
      <c r="L193" s="9" t="s">
        <v>926</v>
      </c>
      <c r="M193" s="10">
        <v>3</v>
      </c>
      <c r="N193" s="10">
        <v>3</v>
      </c>
      <c r="O193" s="7">
        <f t="shared" si="19"/>
        <v>9</v>
      </c>
      <c r="P193" s="7" t="str">
        <f>INDEX('Scales &amp; Matrix'!$B$13:$F$17,6-N193,M193)</f>
        <v>Moderate</v>
      </c>
      <c r="Q193" s="9" t="s">
        <v>927</v>
      </c>
      <c r="R193" s="10">
        <v>2</v>
      </c>
      <c r="S193" s="10">
        <v>2</v>
      </c>
      <c r="T193" s="7">
        <f t="shared" si="20"/>
        <v>4</v>
      </c>
      <c r="U193" s="7" t="str">
        <f>INDEX('Scales &amp; Matrix'!$B$13:$F$17,6-S193,R193)</f>
        <v>Low</v>
      </c>
      <c r="V193" s="11">
        <f t="shared" si="21"/>
        <v>5</v>
      </c>
      <c r="W193" s="12">
        <f t="shared" si="22"/>
        <v>0.55555555555555558</v>
      </c>
      <c r="X193" s="9" t="s">
        <v>883</v>
      </c>
      <c r="Y193" s="7" t="s">
        <v>76</v>
      </c>
      <c r="Z193" s="7" t="s">
        <v>742</v>
      </c>
      <c r="AA193" s="9" t="str">
        <f t="shared" si="23"/>
        <v/>
      </c>
      <c r="AB193" s="13">
        <f t="shared" si="24"/>
        <v>4099807</v>
      </c>
      <c r="AC193" s="13">
        <f t="shared" si="25"/>
        <v>0</v>
      </c>
      <c r="AD193" s="13">
        <f t="shared" si="26"/>
        <v>4099807</v>
      </c>
    </row>
    <row r="194" spans="1:30" ht="38.25" x14ac:dyDescent="0.25">
      <c r="A194" s="7">
        <f t="shared" si="18"/>
        <v>164</v>
      </c>
      <c r="B194" s="7" t="s">
        <v>928</v>
      </c>
      <c r="C194" s="7" t="s">
        <v>504</v>
      </c>
      <c r="D194" s="8" t="str">
        <f>INDEX('Summary by Assessment'!$C$5:$C$101,MATCH(C194,'Summary by Assessment'!$B$5:$B$101,0))</f>
        <v>Fremantle</v>
      </c>
      <c r="E194" s="9" t="s">
        <v>505</v>
      </c>
      <c r="F194" s="9" t="s">
        <v>155</v>
      </c>
      <c r="G194" s="9" t="s">
        <v>51</v>
      </c>
      <c r="H194" s="7" t="s">
        <v>506</v>
      </c>
      <c r="I194" s="7" t="s">
        <v>218</v>
      </c>
      <c r="J194" s="9" t="s">
        <v>507</v>
      </c>
      <c r="K194" s="9" t="s">
        <v>307</v>
      </c>
      <c r="L194" s="9" t="s">
        <v>929</v>
      </c>
      <c r="M194" s="10">
        <v>3</v>
      </c>
      <c r="N194" s="10">
        <v>3</v>
      </c>
      <c r="O194" s="7">
        <f t="shared" si="19"/>
        <v>9</v>
      </c>
      <c r="P194" s="7" t="str">
        <f>INDEX('Scales &amp; Matrix'!$B$13:$F$17,6-N194,M194)</f>
        <v>Moderate</v>
      </c>
      <c r="Q194" s="9" t="s">
        <v>930</v>
      </c>
      <c r="R194" s="10">
        <v>2</v>
      </c>
      <c r="S194" s="10">
        <v>2</v>
      </c>
      <c r="T194" s="7">
        <f t="shared" si="20"/>
        <v>4</v>
      </c>
      <c r="U194" s="7" t="str">
        <f>INDEX('Scales &amp; Matrix'!$B$13:$F$17,6-S194,R194)</f>
        <v>Low</v>
      </c>
      <c r="V194" s="11">
        <f t="shared" si="21"/>
        <v>5</v>
      </c>
      <c r="W194" s="12">
        <f t="shared" si="22"/>
        <v>0.55555555555555558</v>
      </c>
      <c r="X194" s="9" t="s">
        <v>176</v>
      </c>
      <c r="Y194" s="7" t="s">
        <v>76</v>
      </c>
      <c r="Z194" s="7" t="s">
        <v>742</v>
      </c>
      <c r="AA194" s="9" t="str">
        <f t="shared" si="23"/>
        <v/>
      </c>
      <c r="AB194" s="13">
        <f t="shared" si="24"/>
        <v>4099806</v>
      </c>
      <c r="AC194" s="13">
        <f t="shared" si="25"/>
        <v>0</v>
      </c>
      <c r="AD194" s="13">
        <f t="shared" si="26"/>
        <v>4099806</v>
      </c>
    </row>
    <row r="195" spans="1:30" ht="51" x14ac:dyDescent="0.25">
      <c r="A195" s="7">
        <f t="shared" si="18"/>
        <v>164</v>
      </c>
      <c r="B195" s="7" t="s">
        <v>931</v>
      </c>
      <c r="C195" s="7" t="s">
        <v>385</v>
      </c>
      <c r="D195" s="8" t="str">
        <f>INDEX('Summary by Assessment'!$C$5:$C$101,MATCH(C195,'Summary by Assessment'!$B$5:$B$101,0))</f>
        <v>Perth</v>
      </c>
      <c r="E195" s="9" t="s">
        <v>386</v>
      </c>
      <c r="F195" s="9" t="s">
        <v>36</v>
      </c>
      <c r="G195" s="9" t="s">
        <v>51</v>
      </c>
      <c r="H195" s="7" t="s">
        <v>52</v>
      </c>
      <c r="I195" s="7" t="s">
        <v>62</v>
      </c>
      <c r="J195" s="9" t="s">
        <v>932</v>
      </c>
      <c r="K195" s="9" t="s">
        <v>64</v>
      </c>
      <c r="L195" s="9" t="s">
        <v>933</v>
      </c>
      <c r="M195" s="10">
        <v>3</v>
      </c>
      <c r="N195" s="10">
        <v>3</v>
      </c>
      <c r="O195" s="7">
        <f t="shared" si="19"/>
        <v>9</v>
      </c>
      <c r="P195" s="7" t="str">
        <f>INDEX('Scales &amp; Matrix'!$B$13:$F$17,6-N195,M195)</f>
        <v>Moderate</v>
      </c>
      <c r="Q195" s="9" t="s">
        <v>934</v>
      </c>
      <c r="R195" s="10">
        <v>2</v>
      </c>
      <c r="S195" s="10">
        <v>2</v>
      </c>
      <c r="T195" s="7">
        <f t="shared" si="20"/>
        <v>4</v>
      </c>
      <c r="U195" s="7" t="str">
        <f>INDEX('Scales &amp; Matrix'!$B$13:$F$17,6-S195,R195)</f>
        <v>Low</v>
      </c>
      <c r="V195" s="11">
        <f t="shared" si="21"/>
        <v>5</v>
      </c>
      <c r="W195" s="12">
        <f t="shared" si="22"/>
        <v>0.55555555555555558</v>
      </c>
      <c r="X195" s="9" t="s">
        <v>67</v>
      </c>
      <c r="Y195" s="7" t="s">
        <v>76</v>
      </c>
      <c r="Z195" s="7" t="s">
        <v>742</v>
      </c>
      <c r="AA195" s="9" t="str">
        <f t="shared" si="23"/>
        <v/>
      </c>
      <c r="AB195" s="13">
        <f t="shared" si="24"/>
        <v>4099805</v>
      </c>
      <c r="AC195" s="13">
        <f t="shared" si="25"/>
        <v>4099805</v>
      </c>
      <c r="AD195" s="13">
        <f t="shared" si="26"/>
        <v>0</v>
      </c>
    </row>
    <row r="196" spans="1:30" ht="38.25" x14ac:dyDescent="0.25">
      <c r="A196" s="7">
        <f t="shared" si="18"/>
        <v>164</v>
      </c>
      <c r="B196" s="7" t="s">
        <v>935</v>
      </c>
      <c r="C196" s="7" t="s">
        <v>834</v>
      </c>
      <c r="D196" s="8" t="str">
        <f>INDEX('Summary by Assessment'!$C$5:$C$101,MATCH(C196,'Summary by Assessment'!$B$5:$B$101,0))</f>
        <v>Perth</v>
      </c>
      <c r="E196" s="9" t="s">
        <v>835</v>
      </c>
      <c r="F196" s="9" t="s">
        <v>232</v>
      </c>
      <c r="G196" s="9" t="s">
        <v>51</v>
      </c>
      <c r="H196" s="7" t="s">
        <v>836</v>
      </c>
      <c r="I196" s="7" t="s">
        <v>92</v>
      </c>
      <c r="J196" s="9" t="s">
        <v>936</v>
      </c>
      <c r="K196" s="9" t="s">
        <v>64</v>
      </c>
      <c r="L196" s="9" t="s">
        <v>937</v>
      </c>
      <c r="M196" s="10">
        <v>3</v>
      </c>
      <c r="N196" s="10">
        <v>3</v>
      </c>
      <c r="O196" s="7">
        <f t="shared" si="19"/>
        <v>9</v>
      </c>
      <c r="P196" s="7" t="str">
        <f>INDEX('Scales &amp; Matrix'!$B$13:$F$17,6-N196,M196)</f>
        <v>Moderate</v>
      </c>
      <c r="Q196" s="9" t="s">
        <v>938</v>
      </c>
      <c r="R196" s="10">
        <v>2</v>
      </c>
      <c r="S196" s="10">
        <v>2</v>
      </c>
      <c r="T196" s="7">
        <f t="shared" si="20"/>
        <v>4</v>
      </c>
      <c r="U196" s="7" t="str">
        <f>INDEX('Scales &amp; Matrix'!$B$13:$F$17,6-S196,R196)</f>
        <v>Low</v>
      </c>
      <c r="V196" s="11">
        <f t="shared" si="21"/>
        <v>5</v>
      </c>
      <c r="W196" s="12">
        <f t="shared" si="22"/>
        <v>0.55555555555555558</v>
      </c>
      <c r="X196" s="9" t="s">
        <v>939</v>
      </c>
      <c r="Y196" s="7" t="s">
        <v>76</v>
      </c>
      <c r="Z196" s="7" t="s">
        <v>742</v>
      </c>
      <c r="AA196" s="9" t="str">
        <f t="shared" si="23"/>
        <v/>
      </c>
      <c r="AB196" s="13">
        <f t="shared" si="24"/>
        <v>4099804</v>
      </c>
      <c r="AC196" s="13">
        <f t="shared" si="25"/>
        <v>4099804</v>
      </c>
      <c r="AD196" s="13">
        <f t="shared" si="26"/>
        <v>0</v>
      </c>
    </row>
    <row r="197" spans="1:30" ht="51" x14ac:dyDescent="0.25">
      <c r="A197" s="7">
        <f t="shared" ref="A197:A260" si="27">COUNTIF($T$5:$T$297,"&gt;"&amp;T197)+1</f>
        <v>164</v>
      </c>
      <c r="B197" s="7" t="s">
        <v>940</v>
      </c>
      <c r="C197" s="7" t="s">
        <v>424</v>
      </c>
      <c r="D197" s="8" t="str">
        <f>INDEX('Summary by Assessment'!$C$5:$C$101,MATCH(C197,'Summary by Assessment'!$B$5:$B$101,0))</f>
        <v>Perth</v>
      </c>
      <c r="E197" s="9" t="s">
        <v>418</v>
      </c>
      <c r="F197" s="9" t="s">
        <v>50</v>
      </c>
      <c r="G197" s="9" t="s">
        <v>51</v>
      </c>
      <c r="H197" s="7" t="s">
        <v>52</v>
      </c>
      <c r="I197" s="7" t="s">
        <v>92</v>
      </c>
      <c r="J197" s="9" t="s">
        <v>904</v>
      </c>
      <c r="K197" s="9" t="s">
        <v>55</v>
      </c>
      <c r="L197" s="9" t="s">
        <v>905</v>
      </c>
      <c r="M197" s="10">
        <v>3</v>
      </c>
      <c r="N197" s="10">
        <v>3</v>
      </c>
      <c r="O197" s="7">
        <f t="shared" ref="O197:O260" si="28">M197*N197</f>
        <v>9</v>
      </c>
      <c r="P197" s="7" t="str">
        <f>INDEX('Scales &amp; Matrix'!$B$13:$F$17,6-N197,M197)</f>
        <v>Moderate</v>
      </c>
      <c r="Q197" s="9" t="s">
        <v>906</v>
      </c>
      <c r="R197" s="10">
        <v>2</v>
      </c>
      <c r="S197" s="10">
        <v>2</v>
      </c>
      <c r="T197" s="7">
        <f t="shared" ref="T197:T260" si="29">R197*S197</f>
        <v>4</v>
      </c>
      <c r="U197" s="7" t="str">
        <f>INDEX('Scales &amp; Matrix'!$B$13:$F$17,6-S197,R197)</f>
        <v>Low</v>
      </c>
      <c r="V197" s="11">
        <f t="shared" ref="V197:V260" si="30">O197-T197</f>
        <v>5</v>
      </c>
      <c r="W197" s="12">
        <f t="shared" ref="W197:W260" si="31">IF(O197=0,0,V197/O197)</f>
        <v>0.55555555555555558</v>
      </c>
      <c r="X197" s="9" t="s">
        <v>176</v>
      </c>
      <c r="Y197" s="7" t="s">
        <v>76</v>
      </c>
      <c r="Z197" s="7" t="s">
        <v>742</v>
      </c>
      <c r="AA197" s="9" t="str">
        <f t="shared" ref="AA197:AA260" si="32">TRIM(IF(T197&gt;O197,"Residual higher than inherent - check. ","")&amp;IF(O197&lt;&gt;IFERROR(VALUE(TRIM(MID(Y197,FIND(" - ",Y197)+3,3))),0),"Inherent score differs from source form. ","")&amp;IF(T197&lt;&gt;IFERROR(VALUE(TRIM(MID(Z197,FIND(" - ",Z197)+3,3))),0),"Residual score differs from source form. ","")&amp;IF(LOWER(IFERROR(TRIM(LEFT(Z197,FIND(" - ",Z197)-1)),""))&lt;&gt;LOWER(U197),"Source residual rating shown as "&amp;IFERROR(TRIM(LEFT(Z197,FIND(" - ",Z197)-1)),"")&amp;". ","")&amp;IF(LOWER(IFERROR(TRIM(LEFT(Y197,FIND(" - ",Y197)-1)),""))&lt;&gt;LOWER(P197),"Source inherent rating shown as "&amp;IFERROR(TRIM(LEFT(Y197,FIND(" - ",Y197)-1)),"")&amp;". ","")&amp;IF(LEN(TRIM(L197))&lt;6,"Placeholder - no hazard entered on form. ",""))</f>
        <v/>
      </c>
      <c r="AB197" s="13">
        <f t="shared" ref="AB197:AB260" si="33">T197*1000000+O197*10000+(10000-ROW())</f>
        <v>4099803</v>
      </c>
      <c r="AC197" s="13">
        <f t="shared" ref="AC197:AC260" si="34">IF(D197="Perth",AB197,0)</f>
        <v>4099803</v>
      </c>
      <c r="AD197" s="13">
        <f t="shared" ref="AD197:AD260" si="35">IF(D197="Fremantle",AB197,0)</f>
        <v>0</v>
      </c>
    </row>
    <row r="198" spans="1:30" ht="89.25" x14ac:dyDescent="0.25">
      <c r="A198" s="7">
        <f t="shared" si="27"/>
        <v>164</v>
      </c>
      <c r="B198" s="7" t="s">
        <v>941</v>
      </c>
      <c r="C198" s="7" t="s">
        <v>289</v>
      </c>
      <c r="D198" s="8" t="str">
        <f>INDEX('Summary by Assessment'!$C$5:$C$101,MATCH(C198,'Summary by Assessment'!$B$5:$B$101,0))</f>
        <v>Perth</v>
      </c>
      <c r="E198" s="9" t="s">
        <v>262</v>
      </c>
      <c r="F198" s="9" t="s">
        <v>50</v>
      </c>
      <c r="G198" s="9" t="s">
        <v>51</v>
      </c>
      <c r="H198" s="7" t="s">
        <v>52</v>
      </c>
      <c r="I198" s="7" t="s">
        <v>218</v>
      </c>
      <c r="J198" s="9" t="s">
        <v>908</v>
      </c>
      <c r="K198" s="9" t="s">
        <v>909</v>
      </c>
      <c r="L198" s="9" t="s">
        <v>910</v>
      </c>
      <c r="M198" s="10">
        <v>3</v>
      </c>
      <c r="N198" s="10">
        <v>3</v>
      </c>
      <c r="O198" s="7">
        <f t="shared" si="28"/>
        <v>9</v>
      </c>
      <c r="P198" s="7" t="str">
        <f>INDEX('Scales &amp; Matrix'!$B$13:$F$17,6-N198,M198)</f>
        <v>Moderate</v>
      </c>
      <c r="Q198" s="9" t="s">
        <v>911</v>
      </c>
      <c r="R198" s="10">
        <v>2</v>
      </c>
      <c r="S198" s="10">
        <v>2</v>
      </c>
      <c r="T198" s="7">
        <f t="shared" si="29"/>
        <v>4</v>
      </c>
      <c r="U198" s="7" t="str">
        <f>INDEX('Scales &amp; Matrix'!$B$13:$F$17,6-S198,R198)</f>
        <v>Low</v>
      </c>
      <c r="V198" s="11">
        <f t="shared" si="30"/>
        <v>5</v>
      </c>
      <c r="W198" s="12">
        <f t="shared" si="31"/>
        <v>0.55555555555555558</v>
      </c>
      <c r="X198" s="9" t="s">
        <v>221</v>
      </c>
      <c r="Y198" s="7" t="s">
        <v>76</v>
      </c>
      <c r="Z198" s="7" t="s">
        <v>742</v>
      </c>
      <c r="AA198" s="9" t="str">
        <f t="shared" si="32"/>
        <v/>
      </c>
      <c r="AB198" s="13">
        <f t="shared" si="33"/>
        <v>4099802</v>
      </c>
      <c r="AC198" s="13">
        <f t="shared" si="34"/>
        <v>4099802</v>
      </c>
      <c r="AD198" s="13">
        <f t="shared" si="35"/>
        <v>0</v>
      </c>
    </row>
    <row r="199" spans="1:30" ht="38.25" x14ac:dyDescent="0.25">
      <c r="A199" s="7">
        <f t="shared" si="27"/>
        <v>164</v>
      </c>
      <c r="B199" s="7" t="s">
        <v>942</v>
      </c>
      <c r="C199" s="7" t="s">
        <v>524</v>
      </c>
      <c r="D199" s="8" t="str">
        <f>INDEX('Summary by Assessment'!$C$5:$C$101,MATCH(C199,'Summary by Assessment'!$B$5:$B$101,0))</f>
        <v>Perth</v>
      </c>
      <c r="E199" s="9" t="s">
        <v>505</v>
      </c>
      <c r="F199" s="9" t="s">
        <v>155</v>
      </c>
      <c r="G199" s="9" t="s">
        <v>295</v>
      </c>
      <c r="H199" s="7" t="s">
        <v>525</v>
      </c>
      <c r="I199" s="7" t="s">
        <v>218</v>
      </c>
      <c r="J199" s="9" t="s">
        <v>507</v>
      </c>
      <c r="K199" s="9" t="s">
        <v>307</v>
      </c>
      <c r="L199" s="9" t="s">
        <v>929</v>
      </c>
      <c r="M199" s="10">
        <v>3</v>
      </c>
      <c r="N199" s="10">
        <v>3</v>
      </c>
      <c r="O199" s="7">
        <f t="shared" si="28"/>
        <v>9</v>
      </c>
      <c r="P199" s="7" t="str">
        <f>INDEX('Scales &amp; Matrix'!$B$13:$F$17,6-N199,M199)</f>
        <v>Moderate</v>
      </c>
      <c r="Q199" s="9" t="s">
        <v>930</v>
      </c>
      <c r="R199" s="10">
        <v>2</v>
      </c>
      <c r="S199" s="10">
        <v>2</v>
      </c>
      <c r="T199" s="7">
        <f t="shared" si="29"/>
        <v>4</v>
      </c>
      <c r="U199" s="7" t="str">
        <f>INDEX('Scales &amp; Matrix'!$B$13:$F$17,6-S199,R199)</f>
        <v>Low</v>
      </c>
      <c r="V199" s="11">
        <f t="shared" si="30"/>
        <v>5</v>
      </c>
      <c r="W199" s="12">
        <f t="shared" si="31"/>
        <v>0.55555555555555558</v>
      </c>
      <c r="X199" s="9" t="s">
        <v>176</v>
      </c>
      <c r="Y199" s="7" t="s">
        <v>76</v>
      </c>
      <c r="Z199" s="7" t="s">
        <v>742</v>
      </c>
      <c r="AA199" s="9" t="str">
        <f t="shared" si="32"/>
        <v/>
      </c>
      <c r="AB199" s="13">
        <f t="shared" si="33"/>
        <v>4099801</v>
      </c>
      <c r="AC199" s="13">
        <f t="shared" si="34"/>
        <v>4099801</v>
      </c>
      <c r="AD199" s="13">
        <f t="shared" si="35"/>
        <v>0</v>
      </c>
    </row>
    <row r="200" spans="1:30" ht="38.25" x14ac:dyDescent="0.25">
      <c r="A200" s="7">
        <f t="shared" si="27"/>
        <v>164</v>
      </c>
      <c r="B200" s="7" t="s">
        <v>943</v>
      </c>
      <c r="C200" s="7" t="s">
        <v>944</v>
      </c>
      <c r="D200" s="8" t="str">
        <f>INDEX('Summary by Assessment'!$C$5:$C$101,MATCH(C200,'Summary by Assessment'!$B$5:$B$101,0))</f>
        <v>Perth</v>
      </c>
      <c r="E200" s="9" t="s">
        <v>945</v>
      </c>
      <c r="F200" s="9" t="s">
        <v>155</v>
      </c>
      <c r="G200" s="9" t="s">
        <v>946</v>
      </c>
      <c r="H200" s="7" t="s">
        <v>947</v>
      </c>
      <c r="I200" s="7" t="s">
        <v>53</v>
      </c>
      <c r="J200" s="9" t="s">
        <v>948</v>
      </c>
      <c r="K200" s="9" t="s">
        <v>41</v>
      </c>
      <c r="L200" s="9" t="s">
        <v>949</v>
      </c>
      <c r="M200" s="10">
        <v>3</v>
      </c>
      <c r="N200" s="10">
        <v>3</v>
      </c>
      <c r="O200" s="7">
        <f t="shared" si="28"/>
        <v>9</v>
      </c>
      <c r="P200" s="7" t="str">
        <f>INDEX('Scales &amp; Matrix'!$B$13:$F$17,6-N200,M200)</f>
        <v>Moderate</v>
      </c>
      <c r="Q200" s="9" t="s">
        <v>950</v>
      </c>
      <c r="R200" s="10">
        <v>2</v>
      </c>
      <c r="S200" s="10">
        <v>2</v>
      </c>
      <c r="T200" s="7">
        <f t="shared" si="29"/>
        <v>4</v>
      </c>
      <c r="U200" s="7" t="str">
        <f>INDEX('Scales &amp; Matrix'!$B$13:$F$17,6-S200,R200)</f>
        <v>Low</v>
      </c>
      <c r="V200" s="11">
        <f t="shared" si="30"/>
        <v>5</v>
      </c>
      <c r="W200" s="12">
        <f t="shared" si="31"/>
        <v>0.55555555555555558</v>
      </c>
      <c r="X200" s="9" t="s">
        <v>951</v>
      </c>
      <c r="Y200" s="7" t="s">
        <v>76</v>
      </c>
      <c r="Z200" s="7" t="s">
        <v>742</v>
      </c>
      <c r="AA200" s="9" t="str">
        <f t="shared" si="32"/>
        <v/>
      </c>
      <c r="AB200" s="13">
        <f t="shared" si="33"/>
        <v>4099800</v>
      </c>
      <c r="AC200" s="13">
        <f t="shared" si="34"/>
        <v>4099800</v>
      </c>
      <c r="AD200" s="13">
        <f t="shared" si="35"/>
        <v>0</v>
      </c>
    </row>
    <row r="201" spans="1:30" ht="38.25" x14ac:dyDescent="0.25">
      <c r="A201" s="7">
        <f t="shared" si="27"/>
        <v>164</v>
      </c>
      <c r="B201" s="7" t="s">
        <v>952</v>
      </c>
      <c r="C201" s="7" t="s">
        <v>944</v>
      </c>
      <c r="D201" s="8" t="str">
        <f>INDEX('Summary by Assessment'!$C$5:$C$101,MATCH(C201,'Summary by Assessment'!$B$5:$B$101,0))</f>
        <v>Perth</v>
      </c>
      <c r="E201" s="9" t="s">
        <v>945</v>
      </c>
      <c r="F201" s="9" t="s">
        <v>155</v>
      </c>
      <c r="G201" s="9" t="s">
        <v>946</v>
      </c>
      <c r="H201" s="7" t="s">
        <v>947</v>
      </c>
      <c r="I201" s="7" t="s">
        <v>92</v>
      </c>
      <c r="J201" s="9" t="s">
        <v>953</v>
      </c>
      <c r="K201" s="9" t="s">
        <v>41</v>
      </c>
      <c r="L201" s="9" t="s">
        <v>953</v>
      </c>
      <c r="M201" s="10">
        <v>3</v>
      </c>
      <c r="N201" s="10">
        <v>3</v>
      </c>
      <c r="O201" s="7">
        <f t="shared" si="28"/>
        <v>9</v>
      </c>
      <c r="P201" s="7" t="str">
        <f>INDEX('Scales &amp; Matrix'!$B$13:$F$17,6-N201,M201)</f>
        <v>Moderate</v>
      </c>
      <c r="Q201" s="9" t="s">
        <v>954</v>
      </c>
      <c r="R201" s="10">
        <v>2</v>
      </c>
      <c r="S201" s="10">
        <v>2</v>
      </c>
      <c r="T201" s="7">
        <f t="shared" si="29"/>
        <v>4</v>
      </c>
      <c r="U201" s="7" t="str">
        <f>INDEX('Scales &amp; Matrix'!$B$13:$F$17,6-S201,R201)</f>
        <v>Low</v>
      </c>
      <c r="V201" s="11">
        <f t="shared" si="30"/>
        <v>5</v>
      </c>
      <c r="W201" s="12">
        <f t="shared" si="31"/>
        <v>0.55555555555555558</v>
      </c>
      <c r="X201" s="9" t="s">
        <v>955</v>
      </c>
      <c r="Y201" s="7" t="s">
        <v>76</v>
      </c>
      <c r="Z201" s="7" t="s">
        <v>742</v>
      </c>
      <c r="AA201" s="9" t="str">
        <f t="shared" si="32"/>
        <v/>
      </c>
      <c r="AB201" s="13">
        <f t="shared" si="33"/>
        <v>4099799</v>
      </c>
      <c r="AC201" s="13">
        <f t="shared" si="34"/>
        <v>4099799</v>
      </c>
      <c r="AD201" s="13">
        <f t="shared" si="35"/>
        <v>0</v>
      </c>
    </row>
    <row r="202" spans="1:30" ht="38.25" x14ac:dyDescent="0.25">
      <c r="A202" s="7">
        <f t="shared" si="27"/>
        <v>164</v>
      </c>
      <c r="B202" s="7" t="s">
        <v>956</v>
      </c>
      <c r="C202" s="7" t="s">
        <v>957</v>
      </c>
      <c r="D202" s="8" t="str">
        <f>INDEX('Summary by Assessment'!$C$5:$C$101,MATCH(C202,'Summary by Assessment'!$B$5:$B$101,0))</f>
        <v>Fremantle</v>
      </c>
      <c r="E202" s="9" t="s">
        <v>958</v>
      </c>
      <c r="F202" s="9" t="s">
        <v>170</v>
      </c>
      <c r="G202" s="9" t="s">
        <v>51</v>
      </c>
      <c r="H202" s="7" t="s">
        <v>101</v>
      </c>
      <c r="I202" s="7" t="s">
        <v>53</v>
      </c>
      <c r="J202" s="9" t="s">
        <v>959</v>
      </c>
      <c r="K202" s="9" t="s">
        <v>307</v>
      </c>
      <c r="L202" s="9" t="s">
        <v>960</v>
      </c>
      <c r="M202" s="10">
        <v>4</v>
      </c>
      <c r="N202" s="10">
        <v>2</v>
      </c>
      <c r="O202" s="7">
        <f t="shared" si="28"/>
        <v>8</v>
      </c>
      <c r="P202" s="7" t="str">
        <f>INDEX('Scales &amp; Matrix'!$B$13:$F$17,6-N202,M202)</f>
        <v>Moderate</v>
      </c>
      <c r="Q202" s="9" t="s">
        <v>961</v>
      </c>
      <c r="R202" s="10">
        <v>4</v>
      </c>
      <c r="S202" s="10">
        <v>1</v>
      </c>
      <c r="T202" s="7">
        <f t="shared" si="29"/>
        <v>4</v>
      </c>
      <c r="U202" s="7" t="str">
        <f>INDEX('Scales &amp; Matrix'!$B$13:$F$17,6-S202,R202)</f>
        <v>Moderate</v>
      </c>
      <c r="V202" s="11">
        <f t="shared" si="30"/>
        <v>4</v>
      </c>
      <c r="W202" s="12">
        <f t="shared" si="31"/>
        <v>0.5</v>
      </c>
      <c r="X202" s="9" t="s">
        <v>962</v>
      </c>
      <c r="Y202" s="7" t="s">
        <v>316</v>
      </c>
      <c r="Z202" s="7" t="s">
        <v>847</v>
      </c>
      <c r="AA202" s="9" t="str">
        <f t="shared" si="32"/>
        <v/>
      </c>
      <c r="AB202" s="13">
        <f t="shared" si="33"/>
        <v>4089798</v>
      </c>
      <c r="AC202" s="13">
        <f t="shared" si="34"/>
        <v>0</v>
      </c>
      <c r="AD202" s="13">
        <f t="shared" si="35"/>
        <v>4089798</v>
      </c>
    </row>
    <row r="203" spans="1:30" ht="51" x14ac:dyDescent="0.25">
      <c r="A203" s="7">
        <f t="shared" si="27"/>
        <v>164</v>
      </c>
      <c r="B203" s="7" t="s">
        <v>963</v>
      </c>
      <c r="C203" s="7" t="s">
        <v>964</v>
      </c>
      <c r="D203" s="8" t="str">
        <f>INDEX('Summary by Assessment'!$C$5:$C$101,MATCH(C203,'Summary by Assessment'!$B$5:$B$101,0))</f>
        <v>Fremantle</v>
      </c>
      <c r="E203" s="9" t="s">
        <v>965</v>
      </c>
      <c r="F203" s="9" t="s">
        <v>966</v>
      </c>
      <c r="G203" s="9" t="s">
        <v>51</v>
      </c>
      <c r="H203" s="7" t="s">
        <v>91</v>
      </c>
      <c r="I203" s="7" t="s">
        <v>62</v>
      </c>
      <c r="J203" s="9" t="s">
        <v>967</v>
      </c>
      <c r="K203" s="9" t="s">
        <v>968</v>
      </c>
      <c r="L203" s="9" t="s">
        <v>969</v>
      </c>
      <c r="M203" s="10">
        <v>4</v>
      </c>
      <c r="N203" s="10">
        <v>2</v>
      </c>
      <c r="O203" s="7">
        <f t="shared" si="28"/>
        <v>8</v>
      </c>
      <c r="P203" s="7" t="str">
        <f>INDEX('Scales &amp; Matrix'!$B$13:$F$17,6-N203,M203)</f>
        <v>Moderate</v>
      </c>
      <c r="Q203" s="9" t="s">
        <v>970</v>
      </c>
      <c r="R203" s="10">
        <v>4</v>
      </c>
      <c r="S203" s="10">
        <v>1</v>
      </c>
      <c r="T203" s="7">
        <f t="shared" si="29"/>
        <v>4</v>
      </c>
      <c r="U203" s="7" t="str">
        <f>INDEX('Scales &amp; Matrix'!$B$13:$F$17,6-S203,R203)</f>
        <v>Moderate</v>
      </c>
      <c r="V203" s="11">
        <f t="shared" si="30"/>
        <v>4</v>
      </c>
      <c r="W203" s="12">
        <f t="shared" si="31"/>
        <v>0.5</v>
      </c>
      <c r="X203" s="9" t="s">
        <v>971</v>
      </c>
      <c r="Y203" s="7" t="s">
        <v>316</v>
      </c>
      <c r="Z203" s="7" t="s">
        <v>847</v>
      </c>
      <c r="AA203" s="9" t="str">
        <f t="shared" si="32"/>
        <v/>
      </c>
      <c r="AB203" s="13">
        <f t="shared" si="33"/>
        <v>4089797</v>
      </c>
      <c r="AC203" s="13">
        <f t="shared" si="34"/>
        <v>0</v>
      </c>
      <c r="AD203" s="13">
        <f t="shared" si="35"/>
        <v>4089797</v>
      </c>
    </row>
    <row r="204" spans="1:30" ht="38.25" x14ac:dyDescent="0.25">
      <c r="A204" s="7">
        <f t="shared" si="27"/>
        <v>164</v>
      </c>
      <c r="B204" s="7" t="s">
        <v>972</v>
      </c>
      <c r="C204" s="7" t="s">
        <v>973</v>
      </c>
      <c r="D204" s="8" t="str">
        <f>INDEX('Summary by Assessment'!$C$5:$C$101,MATCH(C204,'Summary by Assessment'!$B$5:$B$101,0))</f>
        <v>Perth</v>
      </c>
      <c r="E204" s="9" t="s">
        <v>974</v>
      </c>
      <c r="F204" s="9" t="s">
        <v>170</v>
      </c>
      <c r="G204" s="9" t="s">
        <v>51</v>
      </c>
      <c r="H204" s="7" t="s">
        <v>975</v>
      </c>
      <c r="I204" s="7" t="s">
        <v>53</v>
      </c>
      <c r="J204" s="9" t="s">
        <v>976</v>
      </c>
      <c r="K204" s="9" t="s">
        <v>307</v>
      </c>
      <c r="L204" s="9" t="s">
        <v>960</v>
      </c>
      <c r="M204" s="10">
        <v>4</v>
      </c>
      <c r="N204" s="10">
        <v>2</v>
      </c>
      <c r="O204" s="7">
        <f t="shared" si="28"/>
        <v>8</v>
      </c>
      <c r="P204" s="7" t="str">
        <f>INDEX('Scales &amp; Matrix'!$B$13:$F$17,6-N204,M204)</f>
        <v>Moderate</v>
      </c>
      <c r="Q204" s="9" t="s">
        <v>961</v>
      </c>
      <c r="R204" s="10">
        <v>4</v>
      </c>
      <c r="S204" s="10">
        <v>1</v>
      </c>
      <c r="T204" s="7">
        <f t="shared" si="29"/>
        <v>4</v>
      </c>
      <c r="U204" s="7" t="str">
        <f>INDEX('Scales &amp; Matrix'!$B$13:$F$17,6-S204,R204)</f>
        <v>Moderate</v>
      </c>
      <c r="V204" s="11">
        <f t="shared" si="30"/>
        <v>4</v>
      </c>
      <c r="W204" s="12">
        <f t="shared" si="31"/>
        <v>0.5</v>
      </c>
      <c r="X204" s="9" t="s">
        <v>977</v>
      </c>
      <c r="Y204" s="7" t="s">
        <v>316</v>
      </c>
      <c r="Z204" s="7" t="s">
        <v>847</v>
      </c>
      <c r="AA204" s="9" t="str">
        <f t="shared" si="32"/>
        <v/>
      </c>
      <c r="AB204" s="13">
        <f t="shared" si="33"/>
        <v>4089796</v>
      </c>
      <c r="AC204" s="13">
        <f t="shared" si="34"/>
        <v>4089796</v>
      </c>
      <c r="AD204" s="13">
        <f t="shared" si="35"/>
        <v>0</v>
      </c>
    </row>
    <row r="205" spans="1:30" ht="51" x14ac:dyDescent="0.25">
      <c r="A205" s="7">
        <f t="shared" si="27"/>
        <v>164</v>
      </c>
      <c r="B205" s="7" t="s">
        <v>978</v>
      </c>
      <c r="C205" s="7" t="s">
        <v>979</v>
      </c>
      <c r="D205" s="8" t="str">
        <f>INDEX('Summary by Assessment'!$C$5:$C$101,MATCH(C205,'Summary by Assessment'!$B$5:$B$101,0))</f>
        <v>Perth</v>
      </c>
      <c r="E205" s="9" t="s">
        <v>980</v>
      </c>
      <c r="F205" s="9" t="s">
        <v>155</v>
      </c>
      <c r="G205" s="9" t="s">
        <v>180</v>
      </c>
      <c r="H205" s="7" t="s">
        <v>981</v>
      </c>
      <c r="I205" s="7" t="s">
        <v>53</v>
      </c>
      <c r="J205" s="9" t="s">
        <v>982</v>
      </c>
      <c r="K205" s="9" t="s">
        <v>307</v>
      </c>
      <c r="L205" s="9" t="s">
        <v>983</v>
      </c>
      <c r="M205" s="10">
        <v>4</v>
      </c>
      <c r="N205" s="10">
        <v>2</v>
      </c>
      <c r="O205" s="7">
        <f t="shared" si="28"/>
        <v>8</v>
      </c>
      <c r="P205" s="7" t="str">
        <f>INDEX('Scales &amp; Matrix'!$B$13:$F$17,6-N205,M205)</f>
        <v>Moderate</v>
      </c>
      <c r="Q205" s="9" t="s">
        <v>984</v>
      </c>
      <c r="R205" s="10">
        <v>4</v>
      </c>
      <c r="S205" s="10">
        <v>1</v>
      </c>
      <c r="T205" s="7">
        <f t="shared" si="29"/>
        <v>4</v>
      </c>
      <c r="U205" s="7" t="str">
        <f>INDEX('Scales &amp; Matrix'!$B$13:$F$17,6-S205,R205)</f>
        <v>Moderate</v>
      </c>
      <c r="V205" s="11">
        <f t="shared" si="30"/>
        <v>4</v>
      </c>
      <c r="W205" s="12">
        <f t="shared" si="31"/>
        <v>0.5</v>
      </c>
      <c r="X205" s="9" t="s">
        <v>567</v>
      </c>
      <c r="Y205" s="7" t="s">
        <v>316</v>
      </c>
      <c r="Z205" s="7" t="s">
        <v>847</v>
      </c>
      <c r="AA205" s="9" t="str">
        <f t="shared" si="32"/>
        <v/>
      </c>
      <c r="AB205" s="13">
        <f t="shared" si="33"/>
        <v>4089795</v>
      </c>
      <c r="AC205" s="13">
        <f t="shared" si="34"/>
        <v>4089795</v>
      </c>
      <c r="AD205" s="13">
        <f t="shared" si="35"/>
        <v>0</v>
      </c>
    </row>
    <row r="206" spans="1:30" ht="51" x14ac:dyDescent="0.25">
      <c r="A206" s="7">
        <f t="shared" si="27"/>
        <v>164</v>
      </c>
      <c r="B206" s="7" t="s">
        <v>985</v>
      </c>
      <c r="C206" s="7" t="s">
        <v>986</v>
      </c>
      <c r="D206" s="8" t="str">
        <f>INDEX('Summary by Assessment'!$C$5:$C$101,MATCH(C206,'Summary by Assessment'!$B$5:$B$101,0))</f>
        <v>Perth</v>
      </c>
      <c r="E206" s="9" t="s">
        <v>965</v>
      </c>
      <c r="F206" s="9" t="s">
        <v>966</v>
      </c>
      <c r="G206" s="9" t="s">
        <v>51</v>
      </c>
      <c r="H206" s="7" t="s">
        <v>52</v>
      </c>
      <c r="I206" s="7" t="s">
        <v>62</v>
      </c>
      <c r="J206" s="9" t="s">
        <v>967</v>
      </c>
      <c r="K206" s="9" t="s">
        <v>968</v>
      </c>
      <c r="L206" s="9" t="s">
        <v>969</v>
      </c>
      <c r="M206" s="10">
        <v>4</v>
      </c>
      <c r="N206" s="10">
        <v>2</v>
      </c>
      <c r="O206" s="7">
        <f t="shared" si="28"/>
        <v>8</v>
      </c>
      <c r="P206" s="7" t="str">
        <f>INDEX('Scales &amp; Matrix'!$B$13:$F$17,6-N206,M206)</f>
        <v>Moderate</v>
      </c>
      <c r="Q206" s="9" t="s">
        <v>970</v>
      </c>
      <c r="R206" s="10">
        <v>4</v>
      </c>
      <c r="S206" s="10">
        <v>1</v>
      </c>
      <c r="T206" s="7">
        <f t="shared" si="29"/>
        <v>4</v>
      </c>
      <c r="U206" s="7" t="str">
        <f>INDEX('Scales &amp; Matrix'!$B$13:$F$17,6-S206,R206)</f>
        <v>Moderate</v>
      </c>
      <c r="V206" s="11">
        <f t="shared" si="30"/>
        <v>4</v>
      </c>
      <c r="W206" s="12">
        <f t="shared" si="31"/>
        <v>0.5</v>
      </c>
      <c r="X206" s="9" t="s">
        <v>971</v>
      </c>
      <c r="Y206" s="7" t="s">
        <v>316</v>
      </c>
      <c r="Z206" s="7" t="s">
        <v>847</v>
      </c>
      <c r="AA206" s="9" t="str">
        <f t="shared" si="32"/>
        <v/>
      </c>
      <c r="AB206" s="13">
        <f t="shared" si="33"/>
        <v>4089794</v>
      </c>
      <c r="AC206" s="13">
        <f t="shared" si="34"/>
        <v>4089794</v>
      </c>
      <c r="AD206" s="13">
        <f t="shared" si="35"/>
        <v>0</v>
      </c>
    </row>
    <row r="207" spans="1:30" ht="38.25" x14ac:dyDescent="0.25">
      <c r="A207" s="7">
        <f t="shared" si="27"/>
        <v>164</v>
      </c>
      <c r="B207" s="7" t="s">
        <v>987</v>
      </c>
      <c r="C207" s="7" t="s">
        <v>988</v>
      </c>
      <c r="D207" s="8" t="str">
        <f>INDEX('Summary by Assessment'!$C$5:$C$101,MATCH(C207,'Summary by Assessment'!$B$5:$B$101,0))</f>
        <v>Perth</v>
      </c>
      <c r="E207" s="9" t="s">
        <v>989</v>
      </c>
      <c r="F207" s="9" t="s">
        <v>170</v>
      </c>
      <c r="G207" s="9" t="s">
        <v>295</v>
      </c>
      <c r="H207" s="7" t="s">
        <v>990</v>
      </c>
      <c r="I207" s="7" t="s">
        <v>92</v>
      </c>
      <c r="J207" s="9" t="s">
        <v>991</v>
      </c>
      <c r="K207" s="9" t="s">
        <v>439</v>
      </c>
      <c r="L207" s="9" t="s">
        <v>992</v>
      </c>
      <c r="M207" s="10">
        <v>4</v>
      </c>
      <c r="N207" s="10">
        <v>2</v>
      </c>
      <c r="O207" s="7">
        <f t="shared" si="28"/>
        <v>8</v>
      </c>
      <c r="P207" s="7" t="str">
        <f>INDEX('Scales &amp; Matrix'!$B$13:$F$17,6-N207,M207)</f>
        <v>Moderate</v>
      </c>
      <c r="Q207" s="9" t="s">
        <v>993</v>
      </c>
      <c r="R207" s="10">
        <v>4</v>
      </c>
      <c r="S207" s="10">
        <v>1</v>
      </c>
      <c r="T207" s="7">
        <f t="shared" si="29"/>
        <v>4</v>
      </c>
      <c r="U207" s="7" t="str">
        <f>INDEX('Scales &amp; Matrix'!$B$13:$F$17,6-S207,R207)</f>
        <v>Moderate</v>
      </c>
      <c r="V207" s="11">
        <f t="shared" si="30"/>
        <v>4</v>
      </c>
      <c r="W207" s="12">
        <f t="shared" si="31"/>
        <v>0.5</v>
      </c>
      <c r="X207" s="9" t="s">
        <v>105</v>
      </c>
      <c r="Y207" s="7" t="s">
        <v>316</v>
      </c>
      <c r="Z207" s="7" t="s">
        <v>847</v>
      </c>
      <c r="AA207" s="9" t="str">
        <f t="shared" si="32"/>
        <v/>
      </c>
      <c r="AB207" s="13">
        <f t="shared" si="33"/>
        <v>4089793</v>
      </c>
      <c r="AC207" s="13">
        <f t="shared" si="34"/>
        <v>4089793</v>
      </c>
      <c r="AD207" s="13">
        <f t="shared" si="35"/>
        <v>0</v>
      </c>
    </row>
    <row r="208" spans="1:30" ht="51" x14ac:dyDescent="0.25">
      <c r="A208" s="7">
        <f t="shared" si="27"/>
        <v>164</v>
      </c>
      <c r="B208" s="7" t="s">
        <v>994</v>
      </c>
      <c r="C208" s="7" t="s">
        <v>995</v>
      </c>
      <c r="D208" s="8" t="str">
        <f>INDEX('Summary by Assessment'!$C$5:$C$101,MATCH(C208,'Summary by Assessment'!$B$5:$B$101,0))</f>
        <v>Fremantle</v>
      </c>
      <c r="E208" s="9" t="s">
        <v>996</v>
      </c>
      <c r="F208" s="9" t="s">
        <v>50</v>
      </c>
      <c r="G208" s="9" t="s">
        <v>51</v>
      </c>
      <c r="H208" s="7" t="s">
        <v>997</v>
      </c>
      <c r="I208" s="7" t="s">
        <v>39</v>
      </c>
      <c r="J208" s="9" t="s">
        <v>998</v>
      </c>
      <c r="K208" s="9" t="s">
        <v>94</v>
      </c>
      <c r="L208" s="9" t="s">
        <v>999</v>
      </c>
      <c r="M208" s="10">
        <v>4</v>
      </c>
      <c r="N208" s="10">
        <v>2</v>
      </c>
      <c r="O208" s="7">
        <f t="shared" si="28"/>
        <v>8</v>
      </c>
      <c r="P208" s="7" t="str">
        <f>INDEX('Scales &amp; Matrix'!$B$13:$F$17,6-N208,M208)</f>
        <v>Moderate</v>
      </c>
      <c r="Q208" s="9" t="s">
        <v>1000</v>
      </c>
      <c r="R208" s="10">
        <v>2</v>
      </c>
      <c r="S208" s="10">
        <v>2</v>
      </c>
      <c r="T208" s="7">
        <f t="shared" si="29"/>
        <v>4</v>
      </c>
      <c r="U208" s="7" t="str">
        <f>INDEX('Scales &amp; Matrix'!$B$13:$F$17,6-S208,R208)</f>
        <v>Low</v>
      </c>
      <c r="V208" s="11">
        <f t="shared" si="30"/>
        <v>4</v>
      </c>
      <c r="W208" s="12">
        <f t="shared" si="31"/>
        <v>0.5</v>
      </c>
      <c r="X208" s="9" t="s">
        <v>1001</v>
      </c>
      <c r="Y208" s="7" t="s">
        <v>316</v>
      </c>
      <c r="Z208" s="7" t="s">
        <v>742</v>
      </c>
      <c r="AA208" s="9" t="str">
        <f t="shared" si="32"/>
        <v/>
      </c>
      <c r="AB208" s="13">
        <f t="shared" si="33"/>
        <v>4089792</v>
      </c>
      <c r="AC208" s="13">
        <f t="shared" si="34"/>
        <v>0</v>
      </c>
      <c r="AD208" s="13">
        <f t="shared" si="35"/>
        <v>4089792</v>
      </c>
    </row>
    <row r="209" spans="1:30" ht="38.25" x14ac:dyDescent="0.25">
      <c r="A209" s="7">
        <f t="shared" si="27"/>
        <v>164</v>
      </c>
      <c r="B209" s="7" t="s">
        <v>1002</v>
      </c>
      <c r="C209" s="7" t="s">
        <v>474</v>
      </c>
      <c r="D209" s="8" t="str">
        <f>INDEX('Summary by Assessment'!$C$5:$C$101,MATCH(C209,'Summary by Assessment'!$B$5:$B$101,0))</f>
        <v>Fremantle</v>
      </c>
      <c r="E209" s="9" t="s">
        <v>475</v>
      </c>
      <c r="F209" s="9" t="s">
        <v>36</v>
      </c>
      <c r="G209" s="9" t="s">
        <v>51</v>
      </c>
      <c r="H209" s="7" t="s">
        <v>91</v>
      </c>
      <c r="I209" s="7" t="s">
        <v>39</v>
      </c>
      <c r="J209" s="9" t="s">
        <v>1003</v>
      </c>
      <c r="K209" s="9" t="s">
        <v>163</v>
      </c>
      <c r="L209" s="9" t="s">
        <v>1004</v>
      </c>
      <c r="M209" s="10">
        <v>2</v>
      </c>
      <c r="N209" s="10">
        <v>4</v>
      </c>
      <c r="O209" s="7">
        <f t="shared" si="28"/>
        <v>8</v>
      </c>
      <c r="P209" s="7" t="str">
        <f>INDEX('Scales &amp; Matrix'!$B$13:$F$17,6-N209,M209)</f>
        <v>Moderate</v>
      </c>
      <c r="Q209" s="9" t="s">
        <v>1005</v>
      </c>
      <c r="R209" s="10">
        <v>2</v>
      </c>
      <c r="S209" s="10">
        <v>2</v>
      </c>
      <c r="T209" s="7">
        <f t="shared" si="29"/>
        <v>4</v>
      </c>
      <c r="U209" s="7" t="str">
        <f>INDEX('Scales &amp; Matrix'!$B$13:$F$17,6-S209,R209)</f>
        <v>Low</v>
      </c>
      <c r="V209" s="11">
        <f t="shared" si="30"/>
        <v>4</v>
      </c>
      <c r="W209" s="12">
        <f t="shared" si="31"/>
        <v>0.5</v>
      </c>
      <c r="X209" s="9" t="s">
        <v>221</v>
      </c>
      <c r="Y209" s="7" t="s">
        <v>316</v>
      </c>
      <c r="Z209" s="7" t="s">
        <v>742</v>
      </c>
      <c r="AA209" s="9" t="str">
        <f t="shared" si="32"/>
        <v/>
      </c>
      <c r="AB209" s="13">
        <f t="shared" si="33"/>
        <v>4089791</v>
      </c>
      <c r="AC209" s="13">
        <f t="shared" si="34"/>
        <v>0</v>
      </c>
      <c r="AD209" s="13">
        <f t="shared" si="35"/>
        <v>4089791</v>
      </c>
    </row>
    <row r="210" spans="1:30" ht="38.25" x14ac:dyDescent="0.25">
      <c r="A210" s="7">
        <f t="shared" si="27"/>
        <v>164</v>
      </c>
      <c r="B210" s="7" t="s">
        <v>1006</v>
      </c>
      <c r="C210" s="7" t="s">
        <v>1007</v>
      </c>
      <c r="D210" s="8" t="str">
        <f>INDEX('Summary by Assessment'!$C$5:$C$101,MATCH(C210,'Summary by Assessment'!$B$5:$B$101,0))</f>
        <v>Perth</v>
      </c>
      <c r="E210" s="9" t="s">
        <v>1008</v>
      </c>
      <c r="F210" s="9" t="s">
        <v>36</v>
      </c>
      <c r="G210" s="9" t="s">
        <v>51</v>
      </c>
      <c r="H210" s="7" t="s">
        <v>1009</v>
      </c>
      <c r="I210" s="7" t="s">
        <v>53</v>
      </c>
      <c r="J210" s="9" t="s">
        <v>1010</v>
      </c>
      <c r="K210" s="9" t="s">
        <v>94</v>
      </c>
      <c r="L210" s="9" t="s">
        <v>1011</v>
      </c>
      <c r="M210" s="10">
        <v>4</v>
      </c>
      <c r="N210" s="10">
        <v>2</v>
      </c>
      <c r="O210" s="7">
        <f t="shared" si="28"/>
        <v>8</v>
      </c>
      <c r="P210" s="7" t="str">
        <f>INDEX('Scales &amp; Matrix'!$B$13:$F$17,6-N210,M210)</f>
        <v>Moderate</v>
      </c>
      <c r="Q210" s="9" t="s">
        <v>1012</v>
      </c>
      <c r="R210" s="10">
        <v>2</v>
      </c>
      <c r="S210" s="10">
        <v>2</v>
      </c>
      <c r="T210" s="7">
        <f t="shared" si="29"/>
        <v>4</v>
      </c>
      <c r="U210" s="7" t="str">
        <f>INDEX('Scales &amp; Matrix'!$B$13:$F$17,6-S210,R210)</f>
        <v>Low</v>
      </c>
      <c r="V210" s="11">
        <f t="shared" si="30"/>
        <v>4</v>
      </c>
      <c r="W210" s="12">
        <f t="shared" si="31"/>
        <v>0.5</v>
      </c>
      <c r="X210" s="9" t="s">
        <v>97</v>
      </c>
      <c r="Y210" s="7" t="s">
        <v>316</v>
      </c>
      <c r="Z210" s="7" t="s">
        <v>742</v>
      </c>
      <c r="AA210" s="9" t="str">
        <f t="shared" si="32"/>
        <v/>
      </c>
      <c r="AB210" s="13">
        <f t="shared" si="33"/>
        <v>4089790</v>
      </c>
      <c r="AC210" s="13">
        <f t="shared" si="34"/>
        <v>4089790</v>
      </c>
      <c r="AD210" s="13">
        <f t="shared" si="35"/>
        <v>0</v>
      </c>
    </row>
    <row r="211" spans="1:30" ht="63.75" x14ac:dyDescent="0.25">
      <c r="A211" s="7">
        <f t="shared" si="27"/>
        <v>164</v>
      </c>
      <c r="B211" s="7" t="s">
        <v>1013</v>
      </c>
      <c r="C211" s="7" t="s">
        <v>1014</v>
      </c>
      <c r="D211" s="8" t="str">
        <f>INDEX('Summary by Assessment'!$C$5:$C$101,MATCH(C211,'Summary by Assessment'!$B$5:$B$101,0))</f>
        <v>Perth</v>
      </c>
      <c r="E211" s="9" t="s">
        <v>1015</v>
      </c>
      <c r="F211" s="9" t="s">
        <v>232</v>
      </c>
      <c r="G211" s="9" t="s">
        <v>1016</v>
      </c>
      <c r="H211" s="7" t="s">
        <v>1017</v>
      </c>
      <c r="I211" s="7" t="s">
        <v>53</v>
      </c>
      <c r="J211" s="9" t="s">
        <v>1018</v>
      </c>
      <c r="K211" s="9" t="s">
        <v>551</v>
      </c>
      <c r="L211" s="9" t="s">
        <v>1019</v>
      </c>
      <c r="M211" s="10">
        <v>4</v>
      </c>
      <c r="N211" s="10">
        <v>2</v>
      </c>
      <c r="O211" s="7">
        <f t="shared" si="28"/>
        <v>8</v>
      </c>
      <c r="P211" s="7" t="str">
        <f>INDEX('Scales &amp; Matrix'!$B$13:$F$17,6-N211,M211)</f>
        <v>Moderate</v>
      </c>
      <c r="Q211" s="9" t="s">
        <v>1020</v>
      </c>
      <c r="R211" s="10">
        <v>2</v>
      </c>
      <c r="S211" s="10">
        <v>2</v>
      </c>
      <c r="T211" s="7">
        <f t="shared" si="29"/>
        <v>4</v>
      </c>
      <c r="U211" s="7" t="str">
        <f>INDEX('Scales &amp; Matrix'!$B$13:$F$17,6-S211,R211)</f>
        <v>Low</v>
      </c>
      <c r="V211" s="11">
        <f t="shared" si="30"/>
        <v>4</v>
      </c>
      <c r="W211" s="12">
        <f t="shared" si="31"/>
        <v>0.5</v>
      </c>
      <c r="X211" s="9" t="s">
        <v>1021</v>
      </c>
      <c r="Y211" s="7" t="s">
        <v>316</v>
      </c>
      <c r="Z211" s="7" t="s">
        <v>742</v>
      </c>
      <c r="AA211" s="9" t="str">
        <f t="shared" si="32"/>
        <v/>
      </c>
      <c r="AB211" s="13">
        <f t="shared" si="33"/>
        <v>4089789</v>
      </c>
      <c r="AC211" s="13">
        <f t="shared" si="34"/>
        <v>4089789</v>
      </c>
      <c r="AD211" s="13">
        <f t="shared" si="35"/>
        <v>0</v>
      </c>
    </row>
    <row r="212" spans="1:30" ht="76.5" x14ac:dyDescent="0.25">
      <c r="A212" s="7">
        <f t="shared" si="27"/>
        <v>164</v>
      </c>
      <c r="B212" s="7" t="s">
        <v>1022</v>
      </c>
      <c r="C212" s="7" t="s">
        <v>1023</v>
      </c>
      <c r="D212" s="8" t="str">
        <f>INDEX('Summary by Assessment'!$C$5:$C$101,MATCH(C212,'Summary by Assessment'!$B$5:$B$101,0))</f>
        <v>Perth</v>
      </c>
      <c r="E212" s="9" t="s">
        <v>1024</v>
      </c>
      <c r="F212" s="9" t="s">
        <v>50</v>
      </c>
      <c r="G212" s="9" t="s">
        <v>51</v>
      </c>
      <c r="H212" s="7" t="s">
        <v>1025</v>
      </c>
      <c r="I212" s="7" t="s">
        <v>39</v>
      </c>
      <c r="J212" s="9" t="s">
        <v>998</v>
      </c>
      <c r="K212" s="9" t="s">
        <v>94</v>
      </c>
      <c r="L212" s="9" t="s">
        <v>999</v>
      </c>
      <c r="M212" s="10">
        <v>4</v>
      </c>
      <c r="N212" s="10">
        <v>2</v>
      </c>
      <c r="O212" s="7">
        <f t="shared" si="28"/>
        <v>8</v>
      </c>
      <c r="P212" s="7" t="str">
        <f>INDEX('Scales &amp; Matrix'!$B$13:$F$17,6-N212,M212)</f>
        <v>Moderate</v>
      </c>
      <c r="Q212" s="9" t="s">
        <v>1026</v>
      </c>
      <c r="R212" s="10">
        <v>2</v>
      </c>
      <c r="S212" s="10">
        <v>2</v>
      </c>
      <c r="T212" s="7">
        <f t="shared" si="29"/>
        <v>4</v>
      </c>
      <c r="U212" s="7" t="str">
        <f>INDEX('Scales &amp; Matrix'!$B$13:$F$17,6-S212,R212)</f>
        <v>Low</v>
      </c>
      <c r="V212" s="11">
        <f t="shared" si="30"/>
        <v>4</v>
      </c>
      <c r="W212" s="12">
        <f t="shared" si="31"/>
        <v>0.5</v>
      </c>
      <c r="X212" s="9" t="s">
        <v>1027</v>
      </c>
      <c r="Y212" s="7" t="s">
        <v>316</v>
      </c>
      <c r="Z212" s="7" t="s">
        <v>742</v>
      </c>
      <c r="AA212" s="9" t="str">
        <f t="shared" si="32"/>
        <v/>
      </c>
      <c r="AB212" s="13">
        <f t="shared" si="33"/>
        <v>4089788</v>
      </c>
      <c r="AC212" s="13">
        <f t="shared" si="34"/>
        <v>4089788</v>
      </c>
      <c r="AD212" s="13">
        <f t="shared" si="35"/>
        <v>0</v>
      </c>
    </row>
    <row r="213" spans="1:30" ht="76.5" x14ac:dyDescent="0.25">
      <c r="A213" s="7">
        <f t="shared" si="27"/>
        <v>164</v>
      </c>
      <c r="B213" s="7" t="s">
        <v>1028</v>
      </c>
      <c r="C213" s="7" t="s">
        <v>1023</v>
      </c>
      <c r="D213" s="8" t="str">
        <f>INDEX('Summary by Assessment'!$C$5:$C$101,MATCH(C213,'Summary by Assessment'!$B$5:$B$101,0))</f>
        <v>Perth</v>
      </c>
      <c r="E213" s="9" t="s">
        <v>1024</v>
      </c>
      <c r="F213" s="9" t="s">
        <v>50</v>
      </c>
      <c r="G213" s="9" t="s">
        <v>51</v>
      </c>
      <c r="H213" s="7" t="s">
        <v>1025</v>
      </c>
      <c r="I213" s="7" t="s">
        <v>218</v>
      </c>
      <c r="J213" s="9" t="s">
        <v>1029</v>
      </c>
      <c r="K213" s="9" t="s">
        <v>94</v>
      </c>
      <c r="L213" s="9" t="s">
        <v>1030</v>
      </c>
      <c r="M213" s="10">
        <v>4</v>
      </c>
      <c r="N213" s="10">
        <v>2</v>
      </c>
      <c r="O213" s="7">
        <f t="shared" si="28"/>
        <v>8</v>
      </c>
      <c r="P213" s="7" t="str">
        <f>INDEX('Scales &amp; Matrix'!$B$13:$F$17,6-N213,M213)</f>
        <v>Moderate</v>
      </c>
      <c r="Q213" s="9" t="s">
        <v>1031</v>
      </c>
      <c r="R213" s="10">
        <v>2</v>
      </c>
      <c r="S213" s="10">
        <v>2</v>
      </c>
      <c r="T213" s="7">
        <f t="shared" si="29"/>
        <v>4</v>
      </c>
      <c r="U213" s="7" t="str">
        <f>INDEX('Scales &amp; Matrix'!$B$13:$F$17,6-S213,R213)</f>
        <v>Low</v>
      </c>
      <c r="V213" s="11">
        <f t="shared" si="30"/>
        <v>4</v>
      </c>
      <c r="W213" s="12">
        <f t="shared" si="31"/>
        <v>0.5</v>
      </c>
      <c r="X213" s="9" t="s">
        <v>1001</v>
      </c>
      <c r="Y213" s="7" t="s">
        <v>316</v>
      </c>
      <c r="Z213" s="7" t="s">
        <v>742</v>
      </c>
      <c r="AA213" s="9" t="str">
        <f t="shared" si="32"/>
        <v/>
      </c>
      <c r="AB213" s="13">
        <f t="shared" si="33"/>
        <v>4089787</v>
      </c>
      <c r="AC213" s="13">
        <f t="shared" si="34"/>
        <v>4089787</v>
      </c>
      <c r="AD213" s="13">
        <f t="shared" si="35"/>
        <v>0</v>
      </c>
    </row>
    <row r="214" spans="1:30" ht="38.25" x14ac:dyDescent="0.25">
      <c r="A214" s="7">
        <f t="shared" si="27"/>
        <v>164</v>
      </c>
      <c r="B214" s="7" t="s">
        <v>1032</v>
      </c>
      <c r="C214" s="7" t="s">
        <v>481</v>
      </c>
      <c r="D214" s="8" t="str">
        <f>INDEX('Summary by Assessment'!$C$5:$C$101,MATCH(C214,'Summary by Assessment'!$B$5:$B$101,0))</f>
        <v>Perth</v>
      </c>
      <c r="E214" s="9" t="s">
        <v>475</v>
      </c>
      <c r="F214" s="9" t="s">
        <v>36</v>
      </c>
      <c r="G214" s="9" t="s">
        <v>51</v>
      </c>
      <c r="H214" s="7" t="s">
        <v>52</v>
      </c>
      <c r="I214" s="7" t="s">
        <v>39</v>
      </c>
      <c r="J214" s="9" t="s">
        <v>1003</v>
      </c>
      <c r="K214" s="9" t="s">
        <v>163</v>
      </c>
      <c r="L214" s="9" t="s">
        <v>1004</v>
      </c>
      <c r="M214" s="10">
        <v>2</v>
      </c>
      <c r="N214" s="10">
        <v>4</v>
      </c>
      <c r="O214" s="7">
        <f t="shared" si="28"/>
        <v>8</v>
      </c>
      <c r="P214" s="7" t="str">
        <f>INDEX('Scales &amp; Matrix'!$B$13:$F$17,6-N214,M214)</f>
        <v>Moderate</v>
      </c>
      <c r="Q214" s="9" t="s">
        <v>1005</v>
      </c>
      <c r="R214" s="10">
        <v>2</v>
      </c>
      <c r="S214" s="10">
        <v>2</v>
      </c>
      <c r="T214" s="7">
        <f t="shared" si="29"/>
        <v>4</v>
      </c>
      <c r="U214" s="7" t="str">
        <f>INDEX('Scales &amp; Matrix'!$B$13:$F$17,6-S214,R214)</f>
        <v>Low</v>
      </c>
      <c r="V214" s="11">
        <f t="shared" si="30"/>
        <v>4</v>
      </c>
      <c r="W214" s="12">
        <f t="shared" si="31"/>
        <v>0.5</v>
      </c>
      <c r="X214" s="9" t="s">
        <v>221</v>
      </c>
      <c r="Y214" s="7" t="s">
        <v>316</v>
      </c>
      <c r="Z214" s="7" t="s">
        <v>742</v>
      </c>
      <c r="AA214" s="9" t="str">
        <f t="shared" si="32"/>
        <v/>
      </c>
      <c r="AB214" s="13">
        <f t="shared" si="33"/>
        <v>4089786</v>
      </c>
      <c r="AC214" s="13">
        <f t="shared" si="34"/>
        <v>4089786</v>
      </c>
      <c r="AD214" s="13">
        <f t="shared" si="35"/>
        <v>0</v>
      </c>
    </row>
    <row r="215" spans="1:30" ht="38.25" x14ac:dyDescent="0.25">
      <c r="A215" s="7">
        <f t="shared" si="27"/>
        <v>164</v>
      </c>
      <c r="B215" s="7" t="s">
        <v>1033</v>
      </c>
      <c r="C215" s="7" t="s">
        <v>426</v>
      </c>
      <c r="D215" s="8" t="str">
        <f>INDEX('Summary by Assessment'!$C$5:$C$101,MATCH(C215,'Summary by Assessment'!$B$5:$B$101,0))</f>
        <v>Perth</v>
      </c>
      <c r="E215" s="9" t="s">
        <v>427</v>
      </c>
      <c r="F215" s="9" t="s">
        <v>155</v>
      </c>
      <c r="G215" s="9" t="s">
        <v>180</v>
      </c>
      <c r="H215" s="7" t="s">
        <v>428</v>
      </c>
      <c r="I215" s="7" t="s">
        <v>92</v>
      </c>
      <c r="J215" s="9" t="s">
        <v>1034</v>
      </c>
      <c r="K215" s="9" t="s">
        <v>307</v>
      </c>
      <c r="L215" s="9" t="s">
        <v>1035</v>
      </c>
      <c r="M215" s="10">
        <v>2</v>
      </c>
      <c r="N215" s="10">
        <v>4</v>
      </c>
      <c r="O215" s="7">
        <f t="shared" si="28"/>
        <v>8</v>
      </c>
      <c r="P215" s="7" t="str">
        <f>INDEX('Scales &amp; Matrix'!$B$13:$F$17,6-N215,M215)</f>
        <v>Moderate</v>
      </c>
      <c r="Q215" s="9" t="s">
        <v>1036</v>
      </c>
      <c r="R215" s="10">
        <v>1</v>
      </c>
      <c r="S215" s="10">
        <v>4</v>
      </c>
      <c r="T215" s="7">
        <f t="shared" si="29"/>
        <v>4</v>
      </c>
      <c r="U215" s="7" t="str">
        <f>INDEX('Scales &amp; Matrix'!$B$13:$F$17,6-S215,R215)</f>
        <v>Moderate</v>
      </c>
      <c r="V215" s="11">
        <f t="shared" si="30"/>
        <v>4</v>
      </c>
      <c r="W215" s="12">
        <f t="shared" si="31"/>
        <v>0.5</v>
      </c>
      <c r="X215" s="9" t="s">
        <v>432</v>
      </c>
      <c r="Y215" s="7" t="s">
        <v>316</v>
      </c>
      <c r="Z215" s="7" t="s">
        <v>847</v>
      </c>
      <c r="AA215" s="9" t="str">
        <f t="shared" si="32"/>
        <v/>
      </c>
      <c r="AB215" s="13">
        <f t="shared" si="33"/>
        <v>4089785</v>
      </c>
      <c r="AC215" s="13">
        <f t="shared" si="34"/>
        <v>4089785</v>
      </c>
      <c r="AD215" s="13">
        <f t="shared" si="35"/>
        <v>0</v>
      </c>
    </row>
    <row r="216" spans="1:30" ht="38.25" x14ac:dyDescent="0.25">
      <c r="A216" s="7">
        <f t="shared" si="27"/>
        <v>164</v>
      </c>
      <c r="B216" s="7" t="s">
        <v>1037</v>
      </c>
      <c r="C216" s="7" t="s">
        <v>434</v>
      </c>
      <c r="D216" s="8" t="str">
        <f>INDEX('Summary by Assessment'!$C$5:$C$101,MATCH(C216,'Summary by Assessment'!$B$5:$B$101,0))</f>
        <v>Perth</v>
      </c>
      <c r="E216" s="9" t="s">
        <v>435</v>
      </c>
      <c r="F216" s="9" t="s">
        <v>155</v>
      </c>
      <c r="G216" s="9" t="s">
        <v>180</v>
      </c>
      <c r="H216" s="7" t="s">
        <v>91</v>
      </c>
      <c r="I216" s="7" t="s">
        <v>92</v>
      </c>
      <c r="J216" s="9" t="s">
        <v>1034</v>
      </c>
      <c r="K216" s="9" t="s">
        <v>307</v>
      </c>
      <c r="L216" s="9" t="s">
        <v>1035</v>
      </c>
      <c r="M216" s="10">
        <v>2</v>
      </c>
      <c r="N216" s="10">
        <v>4</v>
      </c>
      <c r="O216" s="7">
        <f t="shared" si="28"/>
        <v>8</v>
      </c>
      <c r="P216" s="7" t="str">
        <f>INDEX('Scales &amp; Matrix'!$B$13:$F$17,6-N216,M216)</f>
        <v>Moderate</v>
      </c>
      <c r="Q216" s="9" t="s">
        <v>1036</v>
      </c>
      <c r="R216" s="10">
        <v>1</v>
      </c>
      <c r="S216" s="10">
        <v>4</v>
      </c>
      <c r="T216" s="7">
        <f t="shared" si="29"/>
        <v>4</v>
      </c>
      <c r="U216" s="7" t="str">
        <f>INDEX('Scales &amp; Matrix'!$B$13:$F$17,6-S216,R216)</f>
        <v>Moderate</v>
      </c>
      <c r="V216" s="11">
        <f t="shared" si="30"/>
        <v>4</v>
      </c>
      <c r="W216" s="12">
        <f t="shared" si="31"/>
        <v>0.5</v>
      </c>
      <c r="X216" s="9" t="s">
        <v>432</v>
      </c>
      <c r="Y216" s="7" t="s">
        <v>316</v>
      </c>
      <c r="Z216" s="7" t="s">
        <v>847</v>
      </c>
      <c r="AA216" s="9" t="str">
        <f t="shared" si="32"/>
        <v/>
      </c>
      <c r="AB216" s="13">
        <f t="shared" si="33"/>
        <v>4089784</v>
      </c>
      <c r="AC216" s="13">
        <f t="shared" si="34"/>
        <v>4089784</v>
      </c>
      <c r="AD216" s="13">
        <f t="shared" si="35"/>
        <v>0</v>
      </c>
    </row>
    <row r="217" spans="1:30" ht="76.5" x14ac:dyDescent="0.25">
      <c r="A217" s="7">
        <f t="shared" si="27"/>
        <v>164</v>
      </c>
      <c r="B217" s="7" t="s">
        <v>1038</v>
      </c>
      <c r="C217" s="7" t="s">
        <v>1039</v>
      </c>
      <c r="D217" s="8" t="str">
        <f>INDEX('Summary by Assessment'!$C$5:$C$101,MATCH(C217,'Summary by Assessment'!$B$5:$B$101,0))</f>
        <v>Fremantle</v>
      </c>
      <c r="E217" s="9" t="s">
        <v>1040</v>
      </c>
      <c r="F217" s="9" t="s">
        <v>445</v>
      </c>
      <c r="G217" s="9" t="s">
        <v>51</v>
      </c>
      <c r="H217" s="7" t="s">
        <v>71</v>
      </c>
      <c r="I217" s="7" t="s">
        <v>53</v>
      </c>
      <c r="J217" s="9" t="s">
        <v>1041</v>
      </c>
      <c r="K217" s="9" t="s">
        <v>94</v>
      </c>
      <c r="L217" s="9" t="s">
        <v>1042</v>
      </c>
      <c r="M217" s="10">
        <v>2</v>
      </c>
      <c r="N217" s="10">
        <v>3</v>
      </c>
      <c r="O217" s="7">
        <f t="shared" si="28"/>
        <v>6</v>
      </c>
      <c r="P217" s="7" t="str">
        <f>INDEX('Scales &amp; Matrix'!$B$13:$F$17,6-N217,M217)</f>
        <v>Moderate</v>
      </c>
      <c r="Q217" s="9" t="s">
        <v>1043</v>
      </c>
      <c r="R217" s="10">
        <v>2</v>
      </c>
      <c r="S217" s="10">
        <v>2</v>
      </c>
      <c r="T217" s="7">
        <f t="shared" si="29"/>
        <v>4</v>
      </c>
      <c r="U217" s="7" t="str">
        <f>INDEX('Scales &amp; Matrix'!$B$13:$F$17,6-S217,R217)</f>
        <v>Low</v>
      </c>
      <c r="V217" s="11">
        <f t="shared" si="30"/>
        <v>2</v>
      </c>
      <c r="W217" s="12">
        <f t="shared" si="31"/>
        <v>0.33333333333333331</v>
      </c>
      <c r="X217" s="9" t="s">
        <v>67</v>
      </c>
      <c r="Y217" s="7" t="s">
        <v>311</v>
      </c>
      <c r="Z217" s="7" t="s">
        <v>742</v>
      </c>
      <c r="AA217" s="9" t="str">
        <f t="shared" si="32"/>
        <v/>
      </c>
      <c r="AB217" s="13">
        <f t="shared" si="33"/>
        <v>4069783</v>
      </c>
      <c r="AC217" s="13">
        <f t="shared" si="34"/>
        <v>0</v>
      </c>
      <c r="AD217" s="13">
        <f t="shared" si="35"/>
        <v>4069783</v>
      </c>
    </row>
    <row r="218" spans="1:30" ht="63.75" x14ac:dyDescent="0.25">
      <c r="A218" s="7">
        <f t="shared" si="27"/>
        <v>164</v>
      </c>
      <c r="B218" s="7" t="s">
        <v>1044</v>
      </c>
      <c r="C218" s="7" t="s">
        <v>995</v>
      </c>
      <c r="D218" s="8" t="str">
        <f>INDEX('Summary by Assessment'!$C$5:$C$101,MATCH(C218,'Summary by Assessment'!$B$5:$B$101,0))</f>
        <v>Fremantle</v>
      </c>
      <c r="E218" s="9" t="s">
        <v>996</v>
      </c>
      <c r="F218" s="9" t="s">
        <v>50</v>
      </c>
      <c r="G218" s="9" t="s">
        <v>51</v>
      </c>
      <c r="H218" s="7" t="s">
        <v>997</v>
      </c>
      <c r="I218" s="7" t="s">
        <v>53</v>
      </c>
      <c r="J218" s="9" t="s">
        <v>1045</v>
      </c>
      <c r="K218" s="9" t="s">
        <v>94</v>
      </c>
      <c r="L218" s="9" t="s">
        <v>1046</v>
      </c>
      <c r="M218" s="10">
        <v>3</v>
      </c>
      <c r="N218" s="10">
        <v>2</v>
      </c>
      <c r="O218" s="7">
        <f t="shared" si="28"/>
        <v>6</v>
      </c>
      <c r="P218" s="7" t="str">
        <f>INDEX('Scales &amp; Matrix'!$B$13:$F$17,6-N218,M218)</f>
        <v>Moderate</v>
      </c>
      <c r="Q218" s="9" t="s">
        <v>1047</v>
      </c>
      <c r="R218" s="10">
        <v>2</v>
      </c>
      <c r="S218" s="10">
        <v>2</v>
      </c>
      <c r="T218" s="7">
        <f t="shared" si="29"/>
        <v>4</v>
      </c>
      <c r="U218" s="7" t="str">
        <f>INDEX('Scales &amp; Matrix'!$B$13:$F$17,6-S218,R218)</f>
        <v>Low</v>
      </c>
      <c r="V218" s="11">
        <f t="shared" si="30"/>
        <v>2</v>
      </c>
      <c r="W218" s="12">
        <f t="shared" si="31"/>
        <v>0.33333333333333331</v>
      </c>
      <c r="X218" s="9" t="s">
        <v>97</v>
      </c>
      <c r="Y218" s="7" t="s">
        <v>311</v>
      </c>
      <c r="Z218" s="7" t="s">
        <v>742</v>
      </c>
      <c r="AA218" s="9" t="str">
        <f t="shared" si="32"/>
        <v/>
      </c>
      <c r="AB218" s="13">
        <f t="shared" si="33"/>
        <v>4069782</v>
      </c>
      <c r="AC218" s="13">
        <f t="shared" si="34"/>
        <v>0</v>
      </c>
      <c r="AD218" s="13">
        <f t="shared" si="35"/>
        <v>4069782</v>
      </c>
    </row>
    <row r="219" spans="1:30" ht="63.75" x14ac:dyDescent="0.25">
      <c r="A219" s="7">
        <f t="shared" si="27"/>
        <v>164</v>
      </c>
      <c r="B219" s="7" t="s">
        <v>1048</v>
      </c>
      <c r="C219" s="7" t="s">
        <v>639</v>
      </c>
      <c r="D219" s="8" t="str">
        <f>INDEX('Summary by Assessment'!$C$5:$C$101,MATCH(C219,'Summary by Assessment'!$B$5:$B$101,0))</f>
        <v>Fremantle</v>
      </c>
      <c r="E219" s="9" t="s">
        <v>640</v>
      </c>
      <c r="F219" s="9" t="s">
        <v>50</v>
      </c>
      <c r="G219" s="9" t="s">
        <v>51</v>
      </c>
      <c r="H219" s="7" t="s">
        <v>91</v>
      </c>
      <c r="I219" s="7" t="s">
        <v>39</v>
      </c>
      <c r="J219" s="9" t="s">
        <v>1049</v>
      </c>
      <c r="K219" s="9" t="s">
        <v>225</v>
      </c>
      <c r="L219" s="9" t="s">
        <v>1050</v>
      </c>
      <c r="M219" s="10">
        <v>3</v>
      </c>
      <c r="N219" s="10">
        <v>2</v>
      </c>
      <c r="O219" s="7">
        <f t="shared" si="28"/>
        <v>6</v>
      </c>
      <c r="P219" s="7" t="str">
        <f>INDEX('Scales &amp; Matrix'!$B$13:$F$17,6-N219,M219)</f>
        <v>Moderate</v>
      </c>
      <c r="Q219" s="9" t="s">
        <v>643</v>
      </c>
      <c r="R219" s="10">
        <v>2</v>
      </c>
      <c r="S219" s="10">
        <v>2</v>
      </c>
      <c r="T219" s="7">
        <f t="shared" si="29"/>
        <v>4</v>
      </c>
      <c r="U219" s="7" t="str">
        <f>INDEX('Scales &amp; Matrix'!$B$13:$F$17,6-S219,R219)</f>
        <v>Low</v>
      </c>
      <c r="V219" s="11">
        <f t="shared" si="30"/>
        <v>2</v>
      </c>
      <c r="W219" s="12">
        <f t="shared" si="31"/>
        <v>0.33333333333333331</v>
      </c>
      <c r="X219" s="9" t="s">
        <v>176</v>
      </c>
      <c r="Y219" s="7" t="s">
        <v>311</v>
      </c>
      <c r="Z219" s="7" t="s">
        <v>742</v>
      </c>
      <c r="AA219" s="9" t="str">
        <f t="shared" si="32"/>
        <v/>
      </c>
      <c r="AB219" s="13">
        <f t="shared" si="33"/>
        <v>4069781</v>
      </c>
      <c r="AC219" s="13">
        <f t="shared" si="34"/>
        <v>0</v>
      </c>
      <c r="AD219" s="13">
        <f t="shared" si="35"/>
        <v>4069781</v>
      </c>
    </row>
    <row r="220" spans="1:30" ht="38.25" x14ac:dyDescent="0.25">
      <c r="A220" s="7">
        <f t="shared" si="27"/>
        <v>164</v>
      </c>
      <c r="B220" s="7" t="s">
        <v>1051</v>
      </c>
      <c r="C220" s="7" t="s">
        <v>504</v>
      </c>
      <c r="D220" s="8" t="str">
        <f>INDEX('Summary by Assessment'!$C$5:$C$101,MATCH(C220,'Summary by Assessment'!$B$5:$B$101,0))</f>
        <v>Fremantle</v>
      </c>
      <c r="E220" s="9" t="s">
        <v>505</v>
      </c>
      <c r="F220" s="9" t="s">
        <v>155</v>
      </c>
      <c r="G220" s="9" t="s">
        <v>51</v>
      </c>
      <c r="H220" s="7" t="s">
        <v>506</v>
      </c>
      <c r="I220" s="7" t="s">
        <v>92</v>
      </c>
      <c r="J220" s="9" t="s">
        <v>1052</v>
      </c>
      <c r="K220" s="9" t="s">
        <v>551</v>
      </c>
      <c r="L220" s="9" t="s">
        <v>1053</v>
      </c>
      <c r="M220" s="10">
        <v>2</v>
      </c>
      <c r="N220" s="10">
        <v>3</v>
      </c>
      <c r="O220" s="7">
        <f t="shared" si="28"/>
        <v>6</v>
      </c>
      <c r="P220" s="7" t="str">
        <f>INDEX('Scales &amp; Matrix'!$B$13:$F$17,6-N220,M220)</f>
        <v>Moderate</v>
      </c>
      <c r="Q220" s="9" t="s">
        <v>1054</v>
      </c>
      <c r="R220" s="10">
        <v>2</v>
      </c>
      <c r="S220" s="10">
        <v>2</v>
      </c>
      <c r="T220" s="7">
        <f t="shared" si="29"/>
        <v>4</v>
      </c>
      <c r="U220" s="7" t="str">
        <f>INDEX('Scales &amp; Matrix'!$B$13:$F$17,6-S220,R220)</f>
        <v>Low</v>
      </c>
      <c r="V220" s="11">
        <f t="shared" si="30"/>
        <v>2</v>
      </c>
      <c r="W220" s="12">
        <f t="shared" si="31"/>
        <v>0.33333333333333331</v>
      </c>
      <c r="X220" s="9" t="s">
        <v>176</v>
      </c>
      <c r="Y220" s="7" t="s">
        <v>311</v>
      </c>
      <c r="Z220" s="7" t="s">
        <v>742</v>
      </c>
      <c r="AA220" s="9" t="str">
        <f t="shared" si="32"/>
        <v/>
      </c>
      <c r="AB220" s="13">
        <f t="shared" si="33"/>
        <v>4069780</v>
      </c>
      <c r="AC220" s="13">
        <f t="shared" si="34"/>
        <v>0</v>
      </c>
      <c r="AD220" s="13">
        <f t="shared" si="35"/>
        <v>4069780</v>
      </c>
    </row>
    <row r="221" spans="1:30" ht="76.5" x14ac:dyDescent="0.25">
      <c r="A221" s="7">
        <f t="shared" si="27"/>
        <v>164</v>
      </c>
      <c r="B221" s="7" t="s">
        <v>1055</v>
      </c>
      <c r="C221" s="7" t="s">
        <v>1056</v>
      </c>
      <c r="D221" s="8" t="str">
        <f>INDEX('Summary by Assessment'!$C$5:$C$101,MATCH(C221,'Summary by Assessment'!$B$5:$B$101,0))</f>
        <v>Perth</v>
      </c>
      <c r="E221" s="9" t="s">
        <v>1040</v>
      </c>
      <c r="F221" s="9" t="s">
        <v>445</v>
      </c>
      <c r="G221" s="9" t="s">
        <v>51</v>
      </c>
      <c r="H221" s="7" t="s">
        <v>52</v>
      </c>
      <c r="I221" s="7" t="s">
        <v>53</v>
      </c>
      <c r="J221" s="9" t="s">
        <v>1041</v>
      </c>
      <c r="K221" s="9" t="s">
        <v>94</v>
      </c>
      <c r="L221" s="9" t="s">
        <v>1042</v>
      </c>
      <c r="M221" s="10">
        <v>2</v>
      </c>
      <c r="N221" s="10">
        <v>3</v>
      </c>
      <c r="O221" s="7">
        <f t="shared" si="28"/>
        <v>6</v>
      </c>
      <c r="P221" s="7" t="str">
        <f>INDEX('Scales &amp; Matrix'!$B$13:$F$17,6-N221,M221)</f>
        <v>Moderate</v>
      </c>
      <c r="Q221" s="9" t="s">
        <v>1043</v>
      </c>
      <c r="R221" s="10">
        <v>2</v>
      </c>
      <c r="S221" s="10">
        <v>2</v>
      </c>
      <c r="T221" s="7">
        <f t="shared" si="29"/>
        <v>4</v>
      </c>
      <c r="U221" s="7" t="str">
        <f>INDEX('Scales &amp; Matrix'!$B$13:$F$17,6-S221,R221)</f>
        <v>Low</v>
      </c>
      <c r="V221" s="11">
        <f t="shared" si="30"/>
        <v>2</v>
      </c>
      <c r="W221" s="12">
        <f t="shared" si="31"/>
        <v>0.33333333333333331</v>
      </c>
      <c r="X221" s="9" t="s">
        <v>67</v>
      </c>
      <c r="Y221" s="7" t="s">
        <v>311</v>
      </c>
      <c r="Z221" s="7" t="s">
        <v>742</v>
      </c>
      <c r="AA221" s="9" t="str">
        <f t="shared" si="32"/>
        <v/>
      </c>
      <c r="AB221" s="13">
        <f t="shared" si="33"/>
        <v>4069779</v>
      </c>
      <c r="AC221" s="13">
        <f t="shared" si="34"/>
        <v>4069779</v>
      </c>
      <c r="AD221" s="13">
        <f t="shared" si="35"/>
        <v>0</v>
      </c>
    </row>
    <row r="222" spans="1:30" ht="25.5" x14ac:dyDescent="0.25">
      <c r="A222" s="7">
        <f t="shared" si="27"/>
        <v>164</v>
      </c>
      <c r="B222" s="7" t="s">
        <v>1057</v>
      </c>
      <c r="C222" s="7" t="s">
        <v>767</v>
      </c>
      <c r="D222" s="8" t="str">
        <f>INDEX('Summary by Assessment'!$C$5:$C$101,MATCH(C222,'Summary by Assessment'!$B$5:$B$101,0))</f>
        <v>Perth</v>
      </c>
      <c r="E222" s="9" t="s">
        <v>768</v>
      </c>
      <c r="F222" s="9" t="s">
        <v>232</v>
      </c>
      <c r="G222" s="9" t="s">
        <v>51</v>
      </c>
      <c r="H222" s="7" t="s">
        <v>769</v>
      </c>
      <c r="I222" s="7" t="s">
        <v>53</v>
      </c>
      <c r="J222" s="9" t="s">
        <v>1058</v>
      </c>
      <c r="K222" s="9" t="s">
        <v>94</v>
      </c>
      <c r="L222" s="9" t="s">
        <v>1059</v>
      </c>
      <c r="M222" s="10">
        <v>2</v>
      </c>
      <c r="N222" s="10">
        <v>3</v>
      </c>
      <c r="O222" s="7">
        <f t="shared" si="28"/>
        <v>6</v>
      </c>
      <c r="P222" s="7" t="str">
        <f>INDEX('Scales &amp; Matrix'!$B$13:$F$17,6-N222,M222)</f>
        <v>Moderate</v>
      </c>
      <c r="Q222" s="9" t="s">
        <v>1060</v>
      </c>
      <c r="R222" s="10">
        <v>2</v>
      </c>
      <c r="S222" s="10">
        <v>2</v>
      </c>
      <c r="T222" s="7">
        <f t="shared" si="29"/>
        <v>4</v>
      </c>
      <c r="U222" s="7" t="str">
        <f>INDEX('Scales &amp; Matrix'!$B$13:$F$17,6-S222,R222)</f>
        <v>Low</v>
      </c>
      <c r="V222" s="11">
        <f t="shared" si="30"/>
        <v>2</v>
      </c>
      <c r="W222" s="12">
        <f t="shared" si="31"/>
        <v>0.33333333333333331</v>
      </c>
      <c r="X222" s="9" t="s">
        <v>97</v>
      </c>
      <c r="Y222" s="7" t="s">
        <v>311</v>
      </c>
      <c r="Z222" s="7" t="s">
        <v>742</v>
      </c>
      <c r="AA222" s="9" t="str">
        <f t="shared" si="32"/>
        <v/>
      </c>
      <c r="AB222" s="13">
        <f t="shared" si="33"/>
        <v>4069778</v>
      </c>
      <c r="AC222" s="13">
        <f t="shared" si="34"/>
        <v>4069778</v>
      </c>
      <c r="AD222" s="13">
        <f t="shared" si="35"/>
        <v>0</v>
      </c>
    </row>
    <row r="223" spans="1:30" ht="38.25" x14ac:dyDescent="0.25">
      <c r="A223" s="7">
        <f t="shared" si="27"/>
        <v>164</v>
      </c>
      <c r="B223" s="7" t="s">
        <v>1061</v>
      </c>
      <c r="C223" s="7" t="s">
        <v>1062</v>
      </c>
      <c r="D223" s="8" t="str">
        <f>INDEX('Summary by Assessment'!$C$5:$C$101,MATCH(C223,'Summary by Assessment'!$B$5:$B$101,0))</f>
        <v>Perth</v>
      </c>
      <c r="E223" s="9" t="s">
        <v>1063</v>
      </c>
      <c r="F223" s="9" t="s">
        <v>155</v>
      </c>
      <c r="G223" s="9" t="s">
        <v>51</v>
      </c>
      <c r="H223" s="7" t="s">
        <v>1064</v>
      </c>
      <c r="I223" s="7" t="s">
        <v>53</v>
      </c>
      <c r="J223" s="9" t="s">
        <v>1065</v>
      </c>
      <c r="K223" s="9" t="s">
        <v>307</v>
      </c>
      <c r="L223" s="9" t="s">
        <v>1066</v>
      </c>
      <c r="M223" s="10">
        <v>2</v>
      </c>
      <c r="N223" s="10">
        <v>3</v>
      </c>
      <c r="O223" s="7">
        <f t="shared" si="28"/>
        <v>6</v>
      </c>
      <c r="P223" s="7" t="str">
        <f>INDEX('Scales &amp; Matrix'!$B$13:$F$17,6-N223,M223)</f>
        <v>Moderate</v>
      </c>
      <c r="Q223" s="9" t="s">
        <v>1067</v>
      </c>
      <c r="R223" s="10">
        <v>2</v>
      </c>
      <c r="S223" s="10">
        <v>2</v>
      </c>
      <c r="T223" s="7">
        <f t="shared" si="29"/>
        <v>4</v>
      </c>
      <c r="U223" s="7" t="str">
        <f>INDEX('Scales &amp; Matrix'!$B$13:$F$17,6-S223,R223)</f>
        <v>Low</v>
      </c>
      <c r="V223" s="11">
        <f t="shared" si="30"/>
        <v>2</v>
      </c>
      <c r="W223" s="12">
        <f t="shared" si="31"/>
        <v>0.33333333333333331</v>
      </c>
      <c r="X223" s="9" t="s">
        <v>1068</v>
      </c>
      <c r="Y223" s="7" t="s">
        <v>311</v>
      </c>
      <c r="Z223" s="7" t="s">
        <v>742</v>
      </c>
      <c r="AA223" s="9" t="str">
        <f t="shared" si="32"/>
        <v/>
      </c>
      <c r="AB223" s="13">
        <f t="shared" si="33"/>
        <v>4069777</v>
      </c>
      <c r="AC223" s="13">
        <f t="shared" si="34"/>
        <v>4069777</v>
      </c>
      <c r="AD223" s="13">
        <f t="shared" si="35"/>
        <v>0</v>
      </c>
    </row>
    <row r="224" spans="1:30" ht="76.5" x14ac:dyDescent="0.25">
      <c r="A224" s="7">
        <f t="shared" si="27"/>
        <v>164</v>
      </c>
      <c r="B224" s="7" t="s">
        <v>1069</v>
      </c>
      <c r="C224" s="7" t="s">
        <v>1023</v>
      </c>
      <c r="D224" s="8" t="str">
        <f>INDEX('Summary by Assessment'!$C$5:$C$101,MATCH(C224,'Summary by Assessment'!$B$5:$B$101,0))</f>
        <v>Perth</v>
      </c>
      <c r="E224" s="9" t="s">
        <v>1024</v>
      </c>
      <c r="F224" s="9" t="s">
        <v>50</v>
      </c>
      <c r="G224" s="9" t="s">
        <v>51</v>
      </c>
      <c r="H224" s="7" t="s">
        <v>1025</v>
      </c>
      <c r="I224" s="7" t="s">
        <v>53</v>
      </c>
      <c r="J224" s="9" t="s">
        <v>1045</v>
      </c>
      <c r="K224" s="9" t="s">
        <v>94</v>
      </c>
      <c r="L224" s="9" t="s">
        <v>1046</v>
      </c>
      <c r="M224" s="10">
        <v>3</v>
      </c>
      <c r="N224" s="10">
        <v>2</v>
      </c>
      <c r="O224" s="7">
        <f t="shared" si="28"/>
        <v>6</v>
      </c>
      <c r="P224" s="7" t="str">
        <f>INDEX('Scales &amp; Matrix'!$B$13:$F$17,6-N224,M224)</f>
        <v>Moderate</v>
      </c>
      <c r="Q224" s="9" t="s">
        <v>1070</v>
      </c>
      <c r="R224" s="10">
        <v>2</v>
      </c>
      <c r="S224" s="10">
        <v>2</v>
      </c>
      <c r="T224" s="7">
        <f t="shared" si="29"/>
        <v>4</v>
      </c>
      <c r="U224" s="7" t="str">
        <f>INDEX('Scales &amp; Matrix'!$B$13:$F$17,6-S224,R224)</f>
        <v>Low</v>
      </c>
      <c r="V224" s="11">
        <f t="shared" si="30"/>
        <v>2</v>
      </c>
      <c r="W224" s="12">
        <f t="shared" si="31"/>
        <v>0.33333333333333331</v>
      </c>
      <c r="X224" s="9" t="s">
        <v>97</v>
      </c>
      <c r="Y224" s="7" t="s">
        <v>311</v>
      </c>
      <c r="Z224" s="7" t="s">
        <v>742</v>
      </c>
      <c r="AA224" s="9" t="str">
        <f t="shared" si="32"/>
        <v/>
      </c>
      <c r="AB224" s="13">
        <f t="shared" si="33"/>
        <v>4069776</v>
      </c>
      <c r="AC224" s="13">
        <f t="shared" si="34"/>
        <v>4069776</v>
      </c>
      <c r="AD224" s="13">
        <f t="shared" si="35"/>
        <v>0</v>
      </c>
    </row>
    <row r="225" spans="1:30" ht="51" x14ac:dyDescent="0.25">
      <c r="A225" s="7">
        <f t="shared" si="27"/>
        <v>164</v>
      </c>
      <c r="B225" s="7" t="s">
        <v>1071</v>
      </c>
      <c r="C225" s="7" t="s">
        <v>659</v>
      </c>
      <c r="D225" s="8" t="str">
        <f>INDEX('Summary by Assessment'!$C$5:$C$101,MATCH(C225,'Summary by Assessment'!$B$5:$B$101,0))</f>
        <v>Perth</v>
      </c>
      <c r="E225" s="9" t="s">
        <v>660</v>
      </c>
      <c r="F225" s="9" t="s">
        <v>36</v>
      </c>
      <c r="G225" s="9" t="s">
        <v>661</v>
      </c>
      <c r="H225" s="7" t="s">
        <v>38</v>
      </c>
      <c r="I225" s="7" t="s">
        <v>53</v>
      </c>
      <c r="J225" s="9" t="s">
        <v>1072</v>
      </c>
      <c r="K225" s="9" t="s">
        <v>131</v>
      </c>
      <c r="L225" s="9" t="s">
        <v>1073</v>
      </c>
      <c r="M225" s="10">
        <v>2</v>
      </c>
      <c r="N225" s="10">
        <v>3</v>
      </c>
      <c r="O225" s="7">
        <f t="shared" si="28"/>
        <v>6</v>
      </c>
      <c r="P225" s="7" t="str">
        <f>INDEX('Scales &amp; Matrix'!$B$13:$F$17,6-N225,M225)</f>
        <v>Moderate</v>
      </c>
      <c r="Q225" s="9" t="s">
        <v>1074</v>
      </c>
      <c r="R225" s="10">
        <v>2</v>
      </c>
      <c r="S225" s="10">
        <v>2</v>
      </c>
      <c r="T225" s="7">
        <f t="shared" si="29"/>
        <v>4</v>
      </c>
      <c r="U225" s="7" t="str">
        <f>INDEX('Scales &amp; Matrix'!$B$13:$F$17,6-S225,R225)</f>
        <v>Low</v>
      </c>
      <c r="V225" s="11">
        <f t="shared" si="30"/>
        <v>2</v>
      </c>
      <c r="W225" s="12">
        <f t="shared" si="31"/>
        <v>0.33333333333333331</v>
      </c>
      <c r="X225" s="9" t="s">
        <v>1075</v>
      </c>
      <c r="Y225" s="7" t="s">
        <v>311</v>
      </c>
      <c r="Z225" s="7" t="s">
        <v>742</v>
      </c>
      <c r="AA225" s="9" t="str">
        <f t="shared" si="32"/>
        <v/>
      </c>
      <c r="AB225" s="13">
        <f t="shared" si="33"/>
        <v>4069775</v>
      </c>
      <c r="AC225" s="13">
        <f t="shared" si="34"/>
        <v>4069775</v>
      </c>
      <c r="AD225" s="13">
        <f t="shared" si="35"/>
        <v>0</v>
      </c>
    </row>
    <row r="226" spans="1:30" ht="51" x14ac:dyDescent="0.25">
      <c r="A226" s="7">
        <f t="shared" si="27"/>
        <v>164</v>
      </c>
      <c r="B226" s="7" t="s">
        <v>1076</v>
      </c>
      <c r="C226" s="7" t="s">
        <v>659</v>
      </c>
      <c r="D226" s="8" t="str">
        <f>INDEX('Summary by Assessment'!$C$5:$C$101,MATCH(C226,'Summary by Assessment'!$B$5:$B$101,0))</f>
        <v>Perth</v>
      </c>
      <c r="E226" s="9" t="s">
        <v>660</v>
      </c>
      <c r="F226" s="9" t="s">
        <v>36</v>
      </c>
      <c r="G226" s="9" t="s">
        <v>661</v>
      </c>
      <c r="H226" s="7" t="s">
        <v>38</v>
      </c>
      <c r="I226" s="7" t="s">
        <v>92</v>
      </c>
      <c r="J226" s="9" t="s">
        <v>1077</v>
      </c>
      <c r="K226" s="9" t="s">
        <v>41</v>
      </c>
      <c r="L226" s="9" t="s">
        <v>1078</v>
      </c>
      <c r="M226" s="10">
        <v>2</v>
      </c>
      <c r="N226" s="10">
        <v>3</v>
      </c>
      <c r="O226" s="7">
        <f t="shared" si="28"/>
        <v>6</v>
      </c>
      <c r="P226" s="7" t="str">
        <f>INDEX('Scales &amp; Matrix'!$B$13:$F$17,6-N226,M226)</f>
        <v>Moderate</v>
      </c>
      <c r="Q226" s="9" t="s">
        <v>1079</v>
      </c>
      <c r="R226" s="10">
        <v>2</v>
      </c>
      <c r="S226" s="10">
        <v>2</v>
      </c>
      <c r="T226" s="7">
        <f t="shared" si="29"/>
        <v>4</v>
      </c>
      <c r="U226" s="7" t="str">
        <f>INDEX('Scales &amp; Matrix'!$B$13:$F$17,6-S226,R226)</f>
        <v>Low</v>
      </c>
      <c r="V226" s="11">
        <f t="shared" si="30"/>
        <v>2</v>
      </c>
      <c r="W226" s="12">
        <f t="shared" si="31"/>
        <v>0.33333333333333331</v>
      </c>
      <c r="X226" s="9" t="s">
        <v>1075</v>
      </c>
      <c r="Y226" s="7" t="s">
        <v>311</v>
      </c>
      <c r="Z226" s="7" t="s">
        <v>742</v>
      </c>
      <c r="AA226" s="9" t="str">
        <f t="shared" si="32"/>
        <v/>
      </c>
      <c r="AB226" s="13">
        <f t="shared" si="33"/>
        <v>4069774</v>
      </c>
      <c r="AC226" s="13">
        <f t="shared" si="34"/>
        <v>4069774</v>
      </c>
      <c r="AD226" s="13">
        <f t="shared" si="35"/>
        <v>0</v>
      </c>
    </row>
    <row r="227" spans="1:30" ht="38.25" x14ac:dyDescent="0.25">
      <c r="A227" s="7">
        <f t="shared" si="27"/>
        <v>164</v>
      </c>
      <c r="B227" s="7" t="s">
        <v>1080</v>
      </c>
      <c r="C227" s="7" t="s">
        <v>524</v>
      </c>
      <c r="D227" s="8" t="str">
        <f>INDEX('Summary by Assessment'!$C$5:$C$101,MATCH(C227,'Summary by Assessment'!$B$5:$B$101,0))</f>
        <v>Perth</v>
      </c>
      <c r="E227" s="9" t="s">
        <v>505</v>
      </c>
      <c r="F227" s="9" t="s">
        <v>155</v>
      </c>
      <c r="G227" s="9" t="s">
        <v>295</v>
      </c>
      <c r="H227" s="7" t="s">
        <v>525</v>
      </c>
      <c r="I227" s="7" t="s">
        <v>92</v>
      </c>
      <c r="J227" s="9" t="s">
        <v>1052</v>
      </c>
      <c r="K227" s="9" t="s">
        <v>551</v>
      </c>
      <c r="L227" s="9" t="s">
        <v>1053</v>
      </c>
      <c r="M227" s="10">
        <v>2</v>
      </c>
      <c r="N227" s="10">
        <v>3</v>
      </c>
      <c r="O227" s="7">
        <f t="shared" si="28"/>
        <v>6</v>
      </c>
      <c r="P227" s="7" t="str">
        <f>INDEX('Scales &amp; Matrix'!$B$13:$F$17,6-N227,M227)</f>
        <v>Moderate</v>
      </c>
      <c r="Q227" s="9" t="s">
        <v>1054</v>
      </c>
      <c r="R227" s="10">
        <v>2</v>
      </c>
      <c r="S227" s="10">
        <v>2</v>
      </c>
      <c r="T227" s="7">
        <f t="shared" si="29"/>
        <v>4</v>
      </c>
      <c r="U227" s="7" t="str">
        <f>INDEX('Scales &amp; Matrix'!$B$13:$F$17,6-S227,R227)</f>
        <v>Low</v>
      </c>
      <c r="V227" s="11">
        <f t="shared" si="30"/>
        <v>2</v>
      </c>
      <c r="W227" s="12">
        <f t="shared" si="31"/>
        <v>0.33333333333333331</v>
      </c>
      <c r="X227" s="9" t="s">
        <v>176</v>
      </c>
      <c r="Y227" s="7" t="s">
        <v>311</v>
      </c>
      <c r="Z227" s="7" t="s">
        <v>742</v>
      </c>
      <c r="AA227" s="9" t="str">
        <f t="shared" si="32"/>
        <v/>
      </c>
      <c r="AB227" s="13">
        <f t="shared" si="33"/>
        <v>4069773</v>
      </c>
      <c r="AC227" s="13">
        <f t="shared" si="34"/>
        <v>4069773</v>
      </c>
      <c r="AD227" s="13">
        <f t="shared" si="35"/>
        <v>0</v>
      </c>
    </row>
    <row r="228" spans="1:30" ht="127.5" x14ac:dyDescent="0.25">
      <c r="A228" s="7">
        <f t="shared" si="27"/>
        <v>164</v>
      </c>
      <c r="B228" s="7" t="s">
        <v>1081</v>
      </c>
      <c r="C228" s="7" t="s">
        <v>789</v>
      </c>
      <c r="D228" s="8" t="str">
        <f>INDEX('Summary by Assessment'!$C$5:$C$101,MATCH(C228,'Summary by Assessment'!$B$5:$B$101,0))</f>
        <v>Perth</v>
      </c>
      <c r="E228" s="9" t="s">
        <v>790</v>
      </c>
      <c r="F228" s="9" t="s">
        <v>232</v>
      </c>
      <c r="G228" s="9" t="s">
        <v>51</v>
      </c>
      <c r="H228" s="7" t="s">
        <v>549</v>
      </c>
      <c r="I228" s="7" t="s">
        <v>92</v>
      </c>
      <c r="J228" s="9" t="s">
        <v>1082</v>
      </c>
      <c r="K228" s="9" t="s">
        <v>163</v>
      </c>
      <c r="L228" s="9" t="s">
        <v>1083</v>
      </c>
      <c r="M228" s="10">
        <v>5</v>
      </c>
      <c r="N228" s="10">
        <v>1</v>
      </c>
      <c r="O228" s="7">
        <f t="shared" si="28"/>
        <v>5</v>
      </c>
      <c r="P228" s="7" t="str">
        <f>INDEX('Scales &amp; Matrix'!$B$13:$F$17,6-N228,M228)</f>
        <v>Moderate</v>
      </c>
      <c r="Q228" s="9" t="s">
        <v>1084</v>
      </c>
      <c r="R228" s="10">
        <v>4</v>
      </c>
      <c r="S228" s="10">
        <v>1</v>
      </c>
      <c r="T228" s="7">
        <f t="shared" si="29"/>
        <v>4</v>
      </c>
      <c r="U228" s="7" t="str">
        <f>INDEX('Scales &amp; Matrix'!$B$13:$F$17,6-S228,R228)</f>
        <v>Moderate</v>
      </c>
      <c r="V228" s="11">
        <f t="shared" si="30"/>
        <v>1</v>
      </c>
      <c r="W228" s="12">
        <f t="shared" si="31"/>
        <v>0.2</v>
      </c>
      <c r="X228" s="9" t="s">
        <v>1085</v>
      </c>
      <c r="Y228" s="7" t="s">
        <v>765</v>
      </c>
      <c r="Z228" s="7" t="s">
        <v>847</v>
      </c>
      <c r="AA228" s="9" t="str">
        <f t="shared" si="32"/>
        <v/>
      </c>
      <c r="AB228" s="13">
        <f t="shared" si="33"/>
        <v>4059772</v>
      </c>
      <c r="AC228" s="13">
        <f t="shared" si="34"/>
        <v>4059772</v>
      </c>
      <c r="AD228" s="13">
        <f t="shared" si="35"/>
        <v>0</v>
      </c>
    </row>
    <row r="229" spans="1:30" ht="63.75" x14ac:dyDescent="0.25">
      <c r="A229" s="7">
        <f t="shared" si="27"/>
        <v>164</v>
      </c>
      <c r="B229" s="7" t="s">
        <v>1086</v>
      </c>
      <c r="C229" s="7" t="s">
        <v>293</v>
      </c>
      <c r="D229" s="8" t="str">
        <f>INDEX('Summary by Assessment'!$C$5:$C$101,MATCH(C229,'Summary by Assessment'!$B$5:$B$101,0))</f>
        <v>Perth</v>
      </c>
      <c r="E229" s="9" t="s">
        <v>294</v>
      </c>
      <c r="F229" s="9" t="s">
        <v>36</v>
      </c>
      <c r="G229" s="9" t="s">
        <v>295</v>
      </c>
      <c r="H229" s="7" t="s">
        <v>296</v>
      </c>
      <c r="I229" s="7" t="s">
        <v>92</v>
      </c>
      <c r="J229" s="9" t="s">
        <v>1087</v>
      </c>
      <c r="K229" s="9" t="s">
        <v>94</v>
      </c>
      <c r="L229" s="9" t="s">
        <v>1088</v>
      </c>
      <c r="M229" s="10">
        <v>2</v>
      </c>
      <c r="N229" s="10">
        <v>2</v>
      </c>
      <c r="O229" s="7">
        <f t="shared" si="28"/>
        <v>4</v>
      </c>
      <c r="P229" s="7" t="str">
        <f>INDEX('Scales &amp; Matrix'!$B$13:$F$17,6-N229,M229)</f>
        <v>Low</v>
      </c>
      <c r="Q229" s="9" t="s">
        <v>1089</v>
      </c>
      <c r="R229" s="10">
        <v>2</v>
      </c>
      <c r="S229" s="10">
        <v>2</v>
      </c>
      <c r="T229" s="7">
        <f t="shared" si="29"/>
        <v>4</v>
      </c>
      <c r="U229" s="7" t="str">
        <f>INDEX('Scales &amp; Matrix'!$B$13:$F$17,6-S229,R229)</f>
        <v>Low</v>
      </c>
      <c r="V229" s="11">
        <f t="shared" si="30"/>
        <v>0</v>
      </c>
      <c r="W229" s="12">
        <f t="shared" si="31"/>
        <v>0</v>
      </c>
      <c r="X229" s="9" t="s">
        <v>1090</v>
      </c>
      <c r="Y229" s="7" t="s">
        <v>742</v>
      </c>
      <c r="Z229" s="7" t="s">
        <v>742</v>
      </c>
      <c r="AA229" s="9" t="str">
        <f t="shared" si="32"/>
        <v/>
      </c>
      <c r="AB229" s="13">
        <f t="shared" si="33"/>
        <v>4049771</v>
      </c>
      <c r="AC229" s="13">
        <f t="shared" si="34"/>
        <v>4049771</v>
      </c>
      <c r="AD229" s="13">
        <f t="shared" si="35"/>
        <v>0</v>
      </c>
    </row>
    <row r="230" spans="1:30" ht="51" x14ac:dyDescent="0.25">
      <c r="A230" s="7">
        <f t="shared" si="27"/>
        <v>164</v>
      </c>
      <c r="B230" s="7" t="s">
        <v>1091</v>
      </c>
      <c r="C230" s="7" t="s">
        <v>659</v>
      </c>
      <c r="D230" s="8" t="str">
        <f>INDEX('Summary by Assessment'!$C$5:$C$101,MATCH(C230,'Summary by Assessment'!$B$5:$B$101,0))</f>
        <v>Perth</v>
      </c>
      <c r="E230" s="9" t="s">
        <v>660</v>
      </c>
      <c r="F230" s="9" t="s">
        <v>36</v>
      </c>
      <c r="G230" s="9" t="s">
        <v>661</v>
      </c>
      <c r="H230" s="7" t="s">
        <v>38</v>
      </c>
      <c r="I230" s="7" t="s">
        <v>218</v>
      </c>
      <c r="J230" s="9" t="s">
        <v>1092</v>
      </c>
      <c r="K230" s="9" t="s">
        <v>131</v>
      </c>
      <c r="L230" s="9" t="s">
        <v>1093</v>
      </c>
      <c r="M230" s="10">
        <v>2</v>
      </c>
      <c r="N230" s="10">
        <v>2</v>
      </c>
      <c r="O230" s="7">
        <f t="shared" si="28"/>
        <v>4</v>
      </c>
      <c r="P230" s="7" t="str">
        <f>INDEX('Scales &amp; Matrix'!$B$13:$F$17,6-N230,M230)</f>
        <v>Low</v>
      </c>
      <c r="Q230" s="9" t="s">
        <v>1094</v>
      </c>
      <c r="R230" s="10">
        <v>2</v>
      </c>
      <c r="S230" s="10">
        <v>2</v>
      </c>
      <c r="T230" s="7">
        <f t="shared" si="29"/>
        <v>4</v>
      </c>
      <c r="U230" s="7" t="str">
        <f>INDEX('Scales &amp; Matrix'!$B$13:$F$17,6-S230,R230)</f>
        <v>Low</v>
      </c>
      <c r="V230" s="11">
        <f t="shared" si="30"/>
        <v>0</v>
      </c>
      <c r="W230" s="12">
        <f t="shared" si="31"/>
        <v>0</v>
      </c>
      <c r="X230" s="9" t="s">
        <v>1075</v>
      </c>
      <c r="Y230" s="7" t="s">
        <v>742</v>
      </c>
      <c r="Z230" s="7" t="s">
        <v>742</v>
      </c>
      <c r="AA230" s="9" t="str">
        <f t="shared" si="32"/>
        <v/>
      </c>
      <c r="AB230" s="13">
        <f t="shared" si="33"/>
        <v>4049770</v>
      </c>
      <c r="AC230" s="13">
        <f t="shared" si="34"/>
        <v>4049770</v>
      </c>
      <c r="AD230" s="13">
        <f t="shared" si="35"/>
        <v>0</v>
      </c>
    </row>
    <row r="231" spans="1:30" ht="63.75" x14ac:dyDescent="0.25">
      <c r="A231" s="7">
        <f t="shared" si="27"/>
        <v>164</v>
      </c>
      <c r="B231" s="7" t="s">
        <v>1095</v>
      </c>
      <c r="C231" s="7" t="s">
        <v>281</v>
      </c>
      <c r="D231" s="8" t="str">
        <f>INDEX('Summary by Assessment'!$C$5:$C$101,MATCH(C231,'Summary by Assessment'!$B$5:$B$101,0))</f>
        <v>Fremantle</v>
      </c>
      <c r="E231" s="9" t="s">
        <v>282</v>
      </c>
      <c r="F231" s="9" t="s">
        <v>50</v>
      </c>
      <c r="G231" s="9" t="s">
        <v>51</v>
      </c>
      <c r="H231" s="7" t="s">
        <v>71</v>
      </c>
      <c r="I231" s="7" t="s">
        <v>218</v>
      </c>
      <c r="J231" s="9" t="s">
        <v>1096</v>
      </c>
      <c r="K231" s="9" t="s">
        <v>1097</v>
      </c>
      <c r="L231" s="9" t="s">
        <v>1098</v>
      </c>
      <c r="M231" s="10">
        <v>3</v>
      </c>
      <c r="N231" s="10">
        <v>1</v>
      </c>
      <c r="O231" s="7">
        <f t="shared" si="28"/>
        <v>3</v>
      </c>
      <c r="P231" s="7" t="str">
        <f>INDEX('Scales &amp; Matrix'!$B$13:$F$17,6-N231,M231)</f>
        <v>Low</v>
      </c>
      <c r="Q231" s="9" t="s">
        <v>1099</v>
      </c>
      <c r="R231" s="10">
        <v>2</v>
      </c>
      <c r="S231" s="10">
        <v>2</v>
      </c>
      <c r="T231" s="7">
        <f t="shared" si="29"/>
        <v>4</v>
      </c>
      <c r="U231" s="7" t="str">
        <f>INDEX('Scales &amp; Matrix'!$B$13:$F$17,6-S231,R231)</f>
        <v>Low</v>
      </c>
      <c r="V231" s="11">
        <f t="shared" si="30"/>
        <v>-1</v>
      </c>
      <c r="W231" s="12">
        <f t="shared" si="31"/>
        <v>-0.33333333333333331</v>
      </c>
      <c r="X231" s="9" t="s">
        <v>67</v>
      </c>
      <c r="Y231" s="7" t="s">
        <v>759</v>
      </c>
      <c r="Z231" s="7" t="s">
        <v>742</v>
      </c>
      <c r="AA231" s="9" t="str">
        <f t="shared" si="32"/>
        <v>Residual higher than inherent - check.</v>
      </c>
      <c r="AB231" s="13">
        <f t="shared" si="33"/>
        <v>4039769</v>
      </c>
      <c r="AC231" s="13">
        <f t="shared" si="34"/>
        <v>0</v>
      </c>
      <c r="AD231" s="13">
        <f t="shared" si="35"/>
        <v>4039769</v>
      </c>
    </row>
    <row r="232" spans="1:30" ht="63.75" x14ac:dyDescent="0.25">
      <c r="A232" s="7">
        <f t="shared" si="27"/>
        <v>164</v>
      </c>
      <c r="B232" s="7" t="s">
        <v>1100</v>
      </c>
      <c r="C232" s="7" t="s">
        <v>1039</v>
      </c>
      <c r="D232" s="8" t="str">
        <f>INDEX('Summary by Assessment'!$C$5:$C$101,MATCH(C232,'Summary by Assessment'!$B$5:$B$101,0))</f>
        <v>Fremantle</v>
      </c>
      <c r="E232" s="9" t="s">
        <v>1040</v>
      </c>
      <c r="F232" s="9" t="s">
        <v>445</v>
      </c>
      <c r="G232" s="9" t="s">
        <v>51</v>
      </c>
      <c r="H232" s="7" t="s">
        <v>71</v>
      </c>
      <c r="I232" s="7" t="s">
        <v>92</v>
      </c>
      <c r="J232" s="9" t="s">
        <v>1101</v>
      </c>
      <c r="K232" s="9" t="s">
        <v>94</v>
      </c>
      <c r="L232" s="9" t="s">
        <v>1102</v>
      </c>
      <c r="M232" s="10">
        <v>2</v>
      </c>
      <c r="N232" s="10">
        <v>1</v>
      </c>
      <c r="O232" s="7">
        <f t="shared" si="28"/>
        <v>2</v>
      </c>
      <c r="P232" s="7" t="str">
        <f>INDEX('Scales &amp; Matrix'!$B$13:$F$17,6-N232,M232)</f>
        <v>Very Low</v>
      </c>
      <c r="Q232" s="9" t="s">
        <v>1103</v>
      </c>
      <c r="R232" s="10">
        <v>2</v>
      </c>
      <c r="S232" s="10">
        <v>2</v>
      </c>
      <c r="T232" s="7">
        <f t="shared" si="29"/>
        <v>4</v>
      </c>
      <c r="U232" s="7" t="str">
        <f>INDEX('Scales &amp; Matrix'!$B$13:$F$17,6-S232,R232)</f>
        <v>Low</v>
      </c>
      <c r="V232" s="11">
        <f t="shared" si="30"/>
        <v>-2</v>
      </c>
      <c r="W232" s="12">
        <f t="shared" si="31"/>
        <v>-1</v>
      </c>
      <c r="X232" s="9" t="s">
        <v>1104</v>
      </c>
      <c r="Y232" s="7" t="s">
        <v>1105</v>
      </c>
      <c r="Z232" s="7" t="s">
        <v>742</v>
      </c>
      <c r="AA232" s="9" t="str">
        <f t="shared" si="32"/>
        <v>Residual higher than inherent - check.</v>
      </c>
      <c r="AB232" s="13">
        <f t="shared" si="33"/>
        <v>4029768</v>
      </c>
      <c r="AC232" s="13">
        <f t="shared" si="34"/>
        <v>0</v>
      </c>
      <c r="AD232" s="13">
        <f t="shared" si="35"/>
        <v>4029768</v>
      </c>
    </row>
    <row r="233" spans="1:30" ht="63.75" x14ac:dyDescent="0.25">
      <c r="A233" s="7">
        <f t="shared" si="27"/>
        <v>164</v>
      </c>
      <c r="B233" s="7" t="s">
        <v>1106</v>
      </c>
      <c r="C233" s="7" t="s">
        <v>1056</v>
      </c>
      <c r="D233" s="8" t="str">
        <f>INDEX('Summary by Assessment'!$C$5:$C$101,MATCH(C233,'Summary by Assessment'!$B$5:$B$101,0))</f>
        <v>Perth</v>
      </c>
      <c r="E233" s="9" t="s">
        <v>1040</v>
      </c>
      <c r="F233" s="9" t="s">
        <v>445</v>
      </c>
      <c r="G233" s="9" t="s">
        <v>51</v>
      </c>
      <c r="H233" s="7" t="s">
        <v>52</v>
      </c>
      <c r="I233" s="7" t="s">
        <v>92</v>
      </c>
      <c r="J233" s="9" t="s">
        <v>1101</v>
      </c>
      <c r="K233" s="9" t="s">
        <v>94</v>
      </c>
      <c r="L233" s="9" t="s">
        <v>1102</v>
      </c>
      <c r="M233" s="10">
        <v>2</v>
      </c>
      <c r="N233" s="10">
        <v>1</v>
      </c>
      <c r="O233" s="7">
        <f t="shared" si="28"/>
        <v>2</v>
      </c>
      <c r="P233" s="7" t="str">
        <f>INDEX('Scales &amp; Matrix'!$B$13:$F$17,6-N233,M233)</f>
        <v>Very Low</v>
      </c>
      <c r="Q233" s="9" t="s">
        <v>1103</v>
      </c>
      <c r="R233" s="10">
        <v>2</v>
      </c>
      <c r="S233" s="10">
        <v>2</v>
      </c>
      <c r="T233" s="7">
        <f t="shared" si="29"/>
        <v>4</v>
      </c>
      <c r="U233" s="7" t="str">
        <f>INDEX('Scales &amp; Matrix'!$B$13:$F$17,6-S233,R233)</f>
        <v>Low</v>
      </c>
      <c r="V233" s="11">
        <f t="shared" si="30"/>
        <v>-2</v>
      </c>
      <c r="W233" s="12">
        <f t="shared" si="31"/>
        <v>-1</v>
      </c>
      <c r="X233" s="9" t="s">
        <v>1104</v>
      </c>
      <c r="Y233" s="7" t="s">
        <v>1105</v>
      </c>
      <c r="Z233" s="7" t="s">
        <v>742</v>
      </c>
      <c r="AA233" s="9" t="str">
        <f t="shared" si="32"/>
        <v>Residual higher than inherent - check.</v>
      </c>
      <c r="AB233" s="13">
        <f t="shared" si="33"/>
        <v>4029767</v>
      </c>
      <c r="AC233" s="13">
        <f t="shared" si="34"/>
        <v>4029767</v>
      </c>
      <c r="AD233" s="13">
        <f t="shared" si="35"/>
        <v>0</v>
      </c>
    </row>
    <row r="234" spans="1:30" ht="204" x14ac:dyDescent="0.25">
      <c r="A234" s="7">
        <f t="shared" si="27"/>
        <v>230</v>
      </c>
      <c r="B234" s="7" t="s">
        <v>1107</v>
      </c>
      <c r="C234" s="7" t="s">
        <v>355</v>
      </c>
      <c r="D234" s="8" t="str">
        <f>INDEX('Summary by Assessment'!$C$5:$C$101,MATCH(C234,'Summary by Assessment'!$B$5:$B$101,0))</f>
        <v>Fremantle</v>
      </c>
      <c r="E234" s="9" t="s">
        <v>356</v>
      </c>
      <c r="F234" s="9" t="s">
        <v>232</v>
      </c>
      <c r="G234" s="9" t="s">
        <v>51</v>
      </c>
      <c r="H234" s="7" t="s">
        <v>357</v>
      </c>
      <c r="I234" s="7" t="s">
        <v>53</v>
      </c>
      <c r="J234" s="9" t="s">
        <v>1108</v>
      </c>
      <c r="K234" s="9" t="s">
        <v>1109</v>
      </c>
      <c r="L234" s="9" t="s">
        <v>1110</v>
      </c>
      <c r="M234" s="10">
        <v>5</v>
      </c>
      <c r="N234" s="10">
        <v>4</v>
      </c>
      <c r="O234" s="7">
        <f t="shared" si="28"/>
        <v>20</v>
      </c>
      <c r="P234" s="7" t="str">
        <f>INDEX('Scales &amp; Matrix'!$B$13:$F$17,6-N234,M234)</f>
        <v>Critical</v>
      </c>
      <c r="Q234" s="9" t="s">
        <v>1111</v>
      </c>
      <c r="R234" s="10">
        <v>1</v>
      </c>
      <c r="S234" s="10">
        <v>3</v>
      </c>
      <c r="T234" s="7">
        <f t="shared" si="29"/>
        <v>3</v>
      </c>
      <c r="U234" s="7" t="str">
        <f>INDEX('Scales &amp; Matrix'!$B$13:$F$17,6-S234,R234)</f>
        <v>Low</v>
      </c>
      <c r="V234" s="11">
        <f t="shared" si="30"/>
        <v>17</v>
      </c>
      <c r="W234" s="12">
        <f t="shared" si="31"/>
        <v>0.85</v>
      </c>
      <c r="X234" s="9" t="s">
        <v>1112</v>
      </c>
      <c r="Y234" s="7" t="s">
        <v>764</v>
      </c>
      <c r="Z234" s="7" t="s">
        <v>759</v>
      </c>
      <c r="AA234" s="9" t="str">
        <f t="shared" si="32"/>
        <v/>
      </c>
      <c r="AB234" s="13">
        <f t="shared" si="33"/>
        <v>3209766</v>
      </c>
      <c r="AC234" s="13">
        <f t="shared" si="34"/>
        <v>0</v>
      </c>
      <c r="AD234" s="13">
        <f t="shared" si="35"/>
        <v>3209766</v>
      </c>
    </row>
    <row r="235" spans="1:30" ht="89.25" x14ac:dyDescent="0.25">
      <c r="A235" s="7">
        <f t="shared" si="27"/>
        <v>230</v>
      </c>
      <c r="B235" s="7" t="s">
        <v>1113</v>
      </c>
      <c r="C235" s="7" t="s">
        <v>797</v>
      </c>
      <c r="D235" s="8" t="str">
        <f>INDEX('Summary by Assessment'!$C$5:$C$101,MATCH(C235,'Summary by Assessment'!$B$5:$B$101,0))</f>
        <v>Fremantle</v>
      </c>
      <c r="E235" s="9" t="s">
        <v>798</v>
      </c>
      <c r="F235" s="9" t="s">
        <v>50</v>
      </c>
      <c r="G235" s="9" t="s">
        <v>51</v>
      </c>
      <c r="H235" s="7" t="s">
        <v>91</v>
      </c>
      <c r="I235" s="7" t="s">
        <v>92</v>
      </c>
      <c r="J235" s="9" t="s">
        <v>1114</v>
      </c>
      <c r="K235" s="9" t="s">
        <v>1115</v>
      </c>
      <c r="L235" s="9" t="s">
        <v>1116</v>
      </c>
      <c r="M235" s="10">
        <v>5</v>
      </c>
      <c r="N235" s="10">
        <v>3</v>
      </c>
      <c r="O235" s="7">
        <f t="shared" si="28"/>
        <v>15</v>
      </c>
      <c r="P235" s="7" t="str">
        <f>INDEX('Scales &amp; Matrix'!$B$13:$F$17,6-N235,M235)</f>
        <v>High</v>
      </c>
      <c r="Q235" s="9" t="s">
        <v>1117</v>
      </c>
      <c r="R235" s="10">
        <v>3</v>
      </c>
      <c r="S235" s="10">
        <v>1</v>
      </c>
      <c r="T235" s="7">
        <f t="shared" si="29"/>
        <v>3</v>
      </c>
      <c r="U235" s="7" t="str">
        <f>INDEX('Scales &amp; Matrix'!$B$13:$F$17,6-S235,R235)</f>
        <v>Low</v>
      </c>
      <c r="V235" s="11">
        <f t="shared" si="30"/>
        <v>12</v>
      </c>
      <c r="W235" s="12">
        <f t="shared" si="31"/>
        <v>0.8</v>
      </c>
      <c r="X235" s="9" t="s">
        <v>67</v>
      </c>
      <c r="Y235" s="7" t="s">
        <v>45</v>
      </c>
      <c r="Z235" s="7" t="s">
        <v>759</v>
      </c>
      <c r="AA235" s="9" t="str">
        <f t="shared" si="32"/>
        <v/>
      </c>
      <c r="AB235" s="13">
        <f t="shared" si="33"/>
        <v>3159765</v>
      </c>
      <c r="AC235" s="13">
        <f t="shared" si="34"/>
        <v>0</v>
      </c>
      <c r="AD235" s="13">
        <f t="shared" si="35"/>
        <v>3159765</v>
      </c>
    </row>
    <row r="236" spans="1:30" ht="63.75" x14ac:dyDescent="0.25">
      <c r="A236" s="7">
        <f t="shared" si="27"/>
        <v>230</v>
      </c>
      <c r="B236" s="7" t="s">
        <v>1118</v>
      </c>
      <c r="C236" s="7" t="s">
        <v>483</v>
      </c>
      <c r="D236" s="8" t="str">
        <f>INDEX('Summary by Assessment'!$C$5:$C$101,MATCH(C236,'Summary by Assessment'!$B$5:$B$101,0))</f>
        <v>Fremantle</v>
      </c>
      <c r="E236" s="9" t="s">
        <v>484</v>
      </c>
      <c r="F236" s="9" t="s">
        <v>36</v>
      </c>
      <c r="G236" s="9" t="s">
        <v>51</v>
      </c>
      <c r="H236" s="7" t="s">
        <v>91</v>
      </c>
      <c r="I236" s="7" t="s">
        <v>92</v>
      </c>
      <c r="J236" s="9" t="s">
        <v>1119</v>
      </c>
      <c r="K236" s="9" t="s">
        <v>1120</v>
      </c>
      <c r="L236" s="9" t="s">
        <v>1121</v>
      </c>
      <c r="M236" s="10">
        <v>5</v>
      </c>
      <c r="N236" s="10">
        <v>3</v>
      </c>
      <c r="O236" s="7">
        <f t="shared" si="28"/>
        <v>15</v>
      </c>
      <c r="P236" s="7" t="str">
        <f>INDEX('Scales &amp; Matrix'!$B$13:$F$17,6-N236,M236)</f>
        <v>High</v>
      </c>
      <c r="Q236" s="9" t="s">
        <v>1122</v>
      </c>
      <c r="R236" s="10">
        <v>3</v>
      </c>
      <c r="S236" s="10">
        <v>1</v>
      </c>
      <c r="T236" s="7">
        <f t="shared" si="29"/>
        <v>3</v>
      </c>
      <c r="U236" s="7" t="str">
        <f>INDEX('Scales &amp; Matrix'!$B$13:$F$17,6-S236,R236)</f>
        <v>Low</v>
      </c>
      <c r="V236" s="11">
        <f t="shared" si="30"/>
        <v>12</v>
      </c>
      <c r="W236" s="12">
        <f t="shared" si="31"/>
        <v>0.8</v>
      </c>
      <c r="X236" s="9" t="s">
        <v>67</v>
      </c>
      <c r="Y236" s="7" t="s">
        <v>45</v>
      </c>
      <c r="Z236" s="7" t="s">
        <v>759</v>
      </c>
      <c r="AA236" s="9" t="str">
        <f t="shared" si="32"/>
        <v/>
      </c>
      <c r="AB236" s="13">
        <f t="shared" si="33"/>
        <v>3159764</v>
      </c>
      <c r="AC236" s="13">
        <f t="shared" si="34"/>
        <v>0</v>
      </c>
      <c r="AD236" s="13">
        <f t="shared" si="35"/>
        <v>3159764</v>
      </c>
    </row>
    <row r="237" spans="1:30" ht="51" x14ac:dyDescent="0.25">
      <c r="A237" s="7">
        <f t="shared" si="27"/>
        <v>230</v>
      </c>
      <c r="B237" s="7" t="s">
        <v>1123</v>
      </c>
      <c r="C237" s="7" t="s">
        <v>535</v>
      </c>
      <c r="D237" s="8" t="str">
        <f>INDEX('Summary by Assessment'!$C$5:$C$101,MATCH(C237,'Summary by Assessment'!$B$5:$B$101,0))</f>
        <v>Fremantle</v>
      </c>
      <c r="E237" s="9" t="s">
        <v>536</v>
      </c>
      <c r="F237" s="9" t="s">
        <v>155</v>
      </c>
      <c r="G237" s="9" t="s">
        <v>51</v>
      </c>
      <c r="H237" s="7" t="s">
        <v>91</v>
      </c>
      <c r="I237" s="7" t="s">
        <v>53</v>
      </c>
      <c r="J237" s="9" t="s">
        <v>1124</v>
      </c>
      <c r="K237" s="9" t="s">
        <v>163</v>
      </c>
      <c r="L237" s="9" t="s">
        <v>1125</v>
      </c>
      <c r="M237" s="10">
        <v>5</v>
      </c>
      <c r="N237" s="10">
        <v>3</v>
      </c>
      <c r="O237" s="7">
        <f t="shared" si="28"/>
        <v>15</v>
      </c>
      <c r="P237" s="7" t="str">
        <f>INDEX('Scales &amp; Matrix'!$B$13:$F$17,6-N237,M237)</f>
        <v>High</v>
      </c>
      <c r="Q237" s="9" t="s">
        <v>1126</v>
      </c>
      <c r="R237" s="10">
        <v>3</v>
      </c>
      <c r="S237" s="10">
        <v>1</v>
      </c>
      <c r="T237" s="7">
        <f t="shared" si="29"/>
        <v>3</v>
      </c>
      <c r="U237" s="7" t="str">
        <f>INDEX('Scales &amp; Matrix'!$B$13:$F$17,6-S237,R237)</f>
        <v>Low</v>
      </c>
      <c r="V237" s="11">
        <f t="shared" si="30"/>
        <v>12</v>
      </c>
      <c r="W237" s="12">
        <f t="shared" si="31"/>
        <v>0.8</v>
      </c>
      <c r="X237" s="9" t="s">
        <v>221</v>
      </c>
      <c r="Y237" s="7" t="s">
        <v>45</v>
      </c>
      <c r="Z237" s="7" t="s">
        <v>759</v>
      </c>
      <c r="AA237" s="9" t="str">
        <f t="shared" si="32"/>
        <v/>
      </c>
      <c r="AB237" s="13">
        <f t="shared" si="33"/>
        <v>3159763</v>
      </c>
      <c r="AC237" s="13">
        <f t="shared" si="34"/>
        <v>0</v>
      </c>
      <c r="AD237" s="13">
        <f t="shared" si="35"/>
        <v>3159763</v>
      </c>
    </row>
    <row r="238" spans="1:30" ht="76.5" x14ac:dyDescent="0.25">
      <c r="A238" s="7">
        <f t="shared" si="27"/>
        <v>230</v>
      </c>
      <c r="B238" s="7" t="s">
        <v>1127</v>
      </c>
      <c r="C238" s="7" t="s">
        <v>281</v>
      </c>
      <c r="D238" s="8" t="str">
        <f>INDEX('Summary by Assessment'!$C$5:$C$101,MATCH(C238,'Summary by Assessment'!$B$5:$B$101,0))</f>
        <v>Fremantle</v>
      </c>
      <c r="E238" s="9" t="s">
        <v>282</v>
      </c>
      <c r="F238" s="9" t="s">
        <v>50</v>
      </c>
      <c r="G238" s="9" t="s">
        <v>51</v>
      </c>
      <c r="H238" s="7" t="s">
        <v>71</v>
      </c>
      <c r="I238" s="7" t="s">
        <v>92</v>
      </c>
      <c r="J238" s="9" t="s">
        <v>1128</v>
      </c>
      <c r="K238" s="9" t="s">
        <v>1129</v>
      </c>
      <c r="L238" s="9" t="s">
        <v>1130</v>
      </c>
      <c r="M238" s="10">
        <v>5</v>
      </c>
      <c r="N238" s="10">
        <v>2</v>
      </c>
      <c r="O238" s="7">
        <f t="shared" si="28"/>
        <v>10</v>
      </c>
      <c r="P238" s="7" t="str">
        <f>INDEX('Scales &amp; Matrix'!$B$13:$F$17,6-N238,M238)</f>
        <v>High</v>
      </c>
      <c r="Q238" s="9" t="s">
        <v>887</v>
      </c>
      <c r="R238" s="10">
        <v>3</v>
      </c>
      <c r="S238" s="10">
        <v>1</v>
      </c>
      <c r="T238" s="7">
        <f t="shared" si="29"/>
        <v>3</v>
      </c>
      <c r="U238" s="7" t="str">
        <f>INDEX('Scales &amp; Matrix'!$B$13:$F$17,6-S238,R238)</f>
        <v>Low</v>
      </c>
      <c r="V238" s="11">
        <f t="shared" si="30"/>
        <v>7</v>
      </c>
      <c r="W238" s="12">
        <f t="shared" si="31"/>
        <v>0.7</v>
      </c>
      <c r="X238" s="9" t="s">
        <v>67</v>
      </c>
      <c r="Y238" s="7" t="s">
        <v>87</v>
      </c>
      <c r="Z238" s="7" t="s">
        <v>759</v>
      </c>
      <c r="AA238" s="9" t="str">
        <f t="shared" si="32"/>
        <v/>
      </c>
      <c r="AB238" s="13">
        <f t="shared" si="33"/>
        <v>3109762</v>
      </c>
      <c r="AC238" s="13">
        <f t="shared" si="34"/>
        <v>0</v>
      </c>
      <c r="AD238" s="13">
        <f t="shared" si="35"/>
        <v>3109762</v>
      </c>
    </row>
    <row r="239" spans="1:30" ht="51" x14ac:dyDescent="0.25">
      <c r="A239" s="7">
        <f t="shared" si="27"/>
        <v>230</v>
      </c>
      <c r="B239" s="7" t="s">
        <v>1131</v>
      </c>
      <c r="C239" s="7" t="s">
        <v>110</v>
      </c>
      <c r="D239" s="8" t="str">
        <f>INDEX('Summary by Assessment'!$C$5:$C$101,MATCH(C239,'Summary by Assessment'!$B$5:$B$101,0))</f>
        <v>Perth</v>
      </c>
      <c r="E239" s="9" t="s">
        <v>111</v>
      </c>
      <c r="F239" s="9" t="s">
        <v>50</v>
      </c>
      <c r="G239" s="9" t="s">
        <v>51</v>
      </c>
      <c r="H239" s="7" t="s">
        <v>112</v>
      </c>
      <c r="I239" s="7" t="s">
        <v>218</v>
      </c>
      <c r="J239" s="9" t="s">
        <v>1132</v>
      </c>
      <c r="K239" s="9" t="s">
        <v>94</v>
      </c>
      <c r="L239" s="9" t="s">
        <v>1133</v>
      </c>
      <c r="M239" s="10">
        <v>3</v>
      </c>
      <c r="N239" s="10">
        <v>3</v>
      </c>
      <c r="O239" s="7">
        <f t="shared" si="28"/>
        <v>9</v>
      </c>
      <c r="P239" s="7" t="str">
        <f>INDEX('Scales &amp; Matrix'!$B$13:$F$17,6-N239,M239)</f>
        <v>Moderate</v>
      </c>
      <c r="Q239" s="9" t="s">
        <v>113</v>
      </c>
      <c r="R239" s="10">
        <v>3</v>
      </c>
      <c r="S239" s="10">
        <v>1</v>
      </c>
      <c r="T239" s="7">
        <f t="shared" si="29"/>
        <v>3</v>
      </c>
      <c r="U239" s="7" t="str">
        <f>INDEX('Scales &amp; Matrix'!$B$13:$F$17,6-S239,R239)</f>
        <v>Low</v>
      </c>
      <c r="V239" s="11">
        <f t="shared" si="30"/>
        <v>6</v>
      </c>
      <c r="W239" s="12">
        <f t="shared" si="31"/>
        <v>0.66666666666666663</v>
      </c>
      <c r="X239" s="9" t="s">
        <v>97</v>
      </c>
      <c r="Y239" s="7" t="s">
        <v>76</v>
      </c>
      <c r="Z239" s="7" t="s">
        <v>759</v>
      </c>
      <c r="AA239" s="9" t="str">
        <f t="shared" si="32"/>
        <v/>
      </c>
      <c r="AB239" s="13">
        <f t="shared" si="33"/>
        <v>3099761</v>
      </c>
      <c r="AC239" s="13">
        <f t="shared" si="34"/>
        <v>3099761</v>
      </c>
      <c r="AD239" s="13">
        <f t="shared" si="35"/>
        <v>0</v>
      </c>
    </row>
    <row r="240" spans="1:30" ht="89.25" x14ac:dyDescent="0.25">
      <c r="A240" s="7">
        <f t="shared" si="27"/>
        <v>230</v>
      </c>
      <c r="B240" s="7" t="s">
        <v>1134</v>
      </c>
      <c r="C240" s="7" t="s">
        <v>1135</v>
      </c>
      <c r="D240" s="8" t="str">
        <f>INDEX('Summary by Assessment'!$C$5:$C$101,MATCH(C240,'Summary by Assessment'!$B$5:$B$101,0))</f>
        <v>Fremantle</v>
      </c>
      <c r="E240" s="9" t="s">
        <v>1136</v>
      </c>
      <c r="F240" s="9" t="s">
        <v>36</v>
      </c>
      <c r="G240" s="9" t="s">
        <v>51</v>
      </c>
      <c r="H240" s="7" t="s">
        <v>91</v>
      </c>
      <c r="I240" s="7" t="s">
        <v>53</v>
      </c>
      <c r="J240" s="9" t="s">
        <v>1137</v>
      </c>
      <c r="K240" s="9" t="s">
        <v>1138</v>
      </c>
      <c r="L240" s="9" t="s">
        <v>1139</v>
      </c>
      <c r="M240" s="10">
        <v>4</v>
      </c>
      <c r="N240" s="10">
        <v>2</v>
      </c>
      <c r="O240" s="7">
        <f t="shared" si="28"/>
        <v>8</v>
      </c>
      <c r="P240" s="7" t="str">
        <f>INDEX('Scales &amp; Matrix'!$B$13:$F$17,6-N240,M240)</f>
        <v>Moderate</v>
      </c>
      <c r="Q240" s="9" t="s">
        <v>1140</v>
      </c>
      <c r="R240" s="10">
        <v>3</v>
      </c>
      <c r="S240" s="10">
        <v>1</v>
      </c>
      <c r="T240" s="7">
        <f t="shared" si="29"/>
        <v>3</v>
      </c>
      <c r="U240" s="7" t="str">
        <f>INDEX('Scales &amp; Matrix'!$B$13:$F$17,6-S240,R240)</f>
        <v>Low</v>
      </c>
      <c r="V240" s="11">
        <f t="shared" si="30"/>
        <v>5</v>
      </c>
      <c r="W240" s="12">
        <f t="shared" si="31"/>
        <v>0.625</v>
      </c>
      <c r="X240" s="9" t="s">
        <v>67</v>
      </c>
      <c r="Y240" s="7" t="s">
        <v>316</v>
      </c>
      <c r="Z240" s="7" t="s">
        <v>759</v>
      </c>
      <c r="AA240" s="9" t="str">
        <f t="shared" si="32"/>
        <v/>
      </c>
      <c r="AB240" s="13">
        <f t="shared" si="33"/>
        <v>3089760</v>
      </c>
      <c r="AC240" s="13">
        <f t="shared" si="34"/>
        <v>0</v>
      </c>
      <c r="AD240" s="13">
        <f t="shared" si="35"/>
        <v>3089760</v>
      </c>
    </row>
    <row r="241" spans="1:30" ht="63.75" x14ac:dyDescent="0.25">
      <c r="A241" s="7">
        <f t="shared" si="27"/>
        <v>230</v>
      </c>
      <c r="B241" s="7" t="s">
        <v>1141</v>
      </c>
      <c r="C241" s="7" t="s">
        <v>1135</v>
      </c>
      <c r="D241" s="8" t="str">
        <f>INDEX('Summary by Assessment'!$C$5:$C$101,MATCH(C241,'Summary by Assessment'!$B$5:$B$101,0))</f>
        <v>Fremantle</v>
      </c>
      <c r="E241" s="9" t="s">
        <v>1136</v>
      </c>
      <c r="F241" s="9" t="s">
        <v>36</v>
      </c>
      <c r="G241" s="9" t="s">
        <v>51</v>
      </c>
      <c r="H241" s="7" t="s">
        <v>91</v>
      </c>
      <c r="I241" s="7" t="s">
        <v>92</v>
      </c>
      <c r="J241" s="9" t="s">
        <v>1142</v>
      </c>
      <c r="K241" s="9" t="s">
        <v>1143</v>
      </c>
      <c r="L241" s="9" t="s">
        <v>1144</v>
      </c>
      <c r="M241" s="10">
        <v>4</v>
      </c>
      <c r="N241" s="10">
        <v>2</v>
      </c>
      <c r="O241" s="7">
        <f t="shared" si="28"/>
        <v>8</v>
      </c>
      <c r="P241" s="7" t="str">
        <f>INDEX('Scales &amp; Matrix'!$B$13:$F$17,6-N241,M241)</f>
        <v>Moderate</v>
      </c>
      <c r="Q241" s="9" t="s">
        <v>1145</v>
      </c>
      <c r="R241" s="10">
        <v>3</v>
      </c>
      <c r="S241" s="10">
        <v>1</v>
      </c>
      <c r="T241" s="7">
        <f t="shared" si="29"/>
        <v>3</v>
      </c>
      <c r="U241" s="7" t="str">
        <f>INDEX('Scales &amp; Matrix'!$B$13:$F$17,6-S241,R241)</f>
        <v>Low</v>
      </c>
      <c r="V241" s="11">
        <f t="shared" si="30"/>
        <v>5</v>
      </c>
      <c r="W241" s="12">
        <f t="shared" si="31"/>
        <v>0.625</v>
      </c>
      <c r="X241" s="9" t="s">
        <v>1146</v>
      </c>
      <c r="Y241" s="7" t="s">
        <v>316</v>
      </c>
      <c r="Z241" s="7" t="s">
        <v>759</v>
      </c>
      <c r="AA241" s="9" t="str">
        <f t="shared" si="32"/>
        <v/>
      </c>
      <c r="AB241" s="13">
        <f t="shared" si="33"/>
        <v>3089759</v>
      </c>
      <c r="AC241" s="13">
        <f t="shared" si="34"/>
        <v>0</v>
      </c>
      <c r="AD241" s="13">
        <f t="shared" si="35"/>
        <v>3089759</v>
      </c>
    </row>
    <row r="242" spans="1:30" ht="89.25" x14ac:dyDescent="0.25">
      <c r="A242" s="7">
        <f t="shared" si="27"/>
        <v>230</v>
      </c>
      <c r="B242" s="7" t="s">
        <v>1147</v>
      </c>
      <c r="C242" s="7" t="s">
        <v>1148</v>
      </c>
      <c r="D242" s="8" t="str">
        <f>INDEX('Summary by Assessment'!$C$5:$C$101,MATCH(C242,'Summary by Assessment'!$B$5:$B$101,0))</f>
        <v>Perth</v>
      </c>
      <c r="E242" s="9" t="s">
        <v>1136</v>
      </c>
      <c r="F242" s="9" t="s">
        <v>36</v>
      </c>
      <c r="G242" s="9" t="s">
        <v>51</v>
      </c>
      <c r="H242" s="7" t="s">
        <v>52</v>
      </c>
      <c r="I242" s="7" t="s">
        <v>53</v>
      </c>
      <c r="J242" s="9" t="s">
        <v>1137</v>
      </c>
      <c r="K242" s="9" t="s">
        <v>1138</v>
      </c>
      <c r="L242" s="9" t="s">
        <v>1139</v>
      </c>
      <c r="M242" s="10">
        <v>4</v>
      </c>
      <c r="N242" s="10">
        <v>2</v>
      </c>
      <c r="O242" s="7">
        <f t="shared" si="28"/>
        <v>8</v>
      </c>
      <c r="P242" s="7" t="str">
        <f>INDEX('Scales &amp; Matrix'!$B$13:$F$17,6-N242,M242)</f>
        <v>Moderate</v>
      </c>
      <c r="Q242" s="9" t="s">
        <v>1140</v>
      </c>
      <c r="R242" s="10">
        <v>3</v>
      </c>
      <c r="S242" s="10">
        <v>1</v>
      </c>
      <c r="T242" s="7">
        <f t="shared" si="29"/>
        <v>3</v>
      </c>
      <c r="U242" s="7" t="str">
        <f>INDEX('Scales &amp; Matrix'!$B$13:$F$17,6-S242,R242)</f>
        <v>Low</v>
      </c>
      <c r="V242" s="11">
        <f t="shared" si="30"/>
        <v>5</v>
      </c>
      <c r="W242" s="12">
        <f t="shared" si="31"/>
        <v>0.625</v>
      </c>
      <c r="X242" s="9" t="s">
        <v>67</v>
      </c>
      <c r="Y242" s="7" t="s">
        <v>316</v>
      </c>
      <c r="Z242" s="7" t="s">
        <v>759</v>
      </c>
      <c r="AA242" s="9" t="str">
        <f t="shared" si="32"/>
        <v/>
      </c>
      <c r="AB242" s="13">
        <f t="shared" si="33"/>
        <v>3089758</v>
      </c>
      <c r="AC242" s="13">
        <f t="shared" si="34"/>
        <v>3089758</v>
      </c>
      <c r="AD242" s="13">
        <f t="shared" si="35"/>
        <v>0</v>
      </c>
    </row>
    <row r="243" spans="1:30" ht="63.75" x14ac:dyDescent="0.25">
      <c r="A243" s="7">
        <f t="shared" si="27"/>
        <v>230</v>
      </c>
      <c r="B243" s="7" t="s">
        <v>1149</v>
      </c>
      <c r="C243" s="7" t="s">
        <v>1148</v>
      </c>
      <c r="D243" s="8" t="str">
        <f>INDEX('Summary by Assessment'!$C$5:$C$101,MATCH(C243,'Summary by Assessment'!$B$5:$B$101,0))</f>
        <v>Perth</v>
      </c>
      <c r="E243" s="9" t="s">
        <v>1136</v>
      </c>
      <c r="F243" s="9" t="s">
        <v>36</v>
      </c>
      <c r="G243" s="9" t="s">
        <v>51</v>
      </c>
      <c r="H243" s="7" t="s">
        <v>52</v>
      </c>
      <c r="I243" s="7" t="s">
        <v>92</v>
      </c>
      <c r="J243" s="9" t="s">
        <v>1142</v>
      </c>
      <c r="K243" s="9" t="s">
        <v>1143</v>
      </c>
      <c r="L243" s="9" t="s">
        <v>1144</v>
      </c>
      <c r="M243" s="10">
        <v>4</v>
      </c>
      <c r="N243" s="10">
        <v>2</v>
      </c>
      <c r="O243" s="7">
        <f t="shared" si="28"/>
        <v>8</v>
      </c>
      <c r="P243" s="7" t="str">
        <f>INDEX('Scales &amp; Matrix'!$B$13:$F$17,6-N243,M243)</f>
        <v>Moderate</v>
      </c>
      <c r="Q243" s="9" t="s">
        <v>1145</v>
      </c>
      <c r="R243" s="10">
        <v>3</v>
      </c>
      <c r="S243" s="10">
        <v>1</v>
      </c>
      <c r="T243" s="7">
        <f t="shared" si="29"/>
        <v>3</v>
      </c>
      <c r="U243" s="7" t="str">
        <f>INDEX('Scales &amp; Matrix'!$B$13:$F$17,6-S243,R243)</f>
        <v>Low</v>
      </c>
      <c r="V243" s="11">
        <f t="shared" si="30"/>
        <v>5</v>
      </c>
      <c r="W243" s="12">
        <f t="shared" si="31"/>
        <v>0.625</v>
      </c>
      <c r="X243" s="9" t="s">
        <v>1146</v>
      </c>
      <c r="Y243" s="7" t="s">
        <v>316</v>
      </c>
      <c r="Z243" s="7" t="s">
        <v>759</v>
      </c>
      <c r="AA243" s="9" t="str">
        <f t="shared" si="32"/>
        <v/>
      </c>
      <c r="AB243" s="13">
        <f t="shared" si="33"/>
        <v>3089757</v>
      </c>
      <c r="AC243" s="13">
        <f t="shared" si="34"/>
        <v>3089757</v>
      </c>
      <c r="AD243" s="13">
        <f t="shared" si="35"/>
        <v>0</v>
      </c>
    </row>
    <row r="244" spans="1:30" ht="38.25" x14ac:dyDescent="0.25">
      <c r="A244" s="7">
        <f t="shared" si="27"/>
        <v>230</v>
      </c>
      <c r="B244" s="7" t="s">
        <v>1150</v>
      </c>
      <c r="C244" s="7" t="s">
        <v>767</v>
      </c>
      <c r="D244" s="8" t="str">
        <f>INDEX('Summary by Assessment'!$C$5:$C$101,MATCH(C244,'Summary by Assessment'!$B$5:$B$101,0))</f>
        <v>Perth</v>
      </c>
      <c r="E244" s="9" t="s">
        <v>768</v>
      </c>
      <c r="F244" s="9" t="s">
        <v>232</v>
      </c>
      <c r="G244" s="9" t="s">
        <v>51</v>
      </c>
      <c r="H244" s="7" t="s">
        <v>769</v>
      </c>
      <c r="I244" s="7" t="s">
        <v>92</v>
      </c>
      <c r="J244" s="9" t="s">
        <v>1151</v>
      </c>
      <c r="K244" s="9" t="s">
        <v>1152</v>
      </c>
      <c r="L244" s="9" t="s">
        <v>1151</v>
      </c>
      <c r="M244" s="10">
        <v>4</v>
      </c>
      <c r="N244" s="10">
        <v>1</v>
      </c>
      <c r="O244" s="7">
        <f t="shared" si="28"/>
        <v>4</v>
      </c>
      <c r="P244" s="7" t="str">
        <f>INDEX('Scales &amp; Matrix'!$B$13:$F$17,6-N244,M244)</f>
        <v>Moderate</v>
      </c>
      <c r="Q244" s="9" t="s">
        <v>1153</v>
      </c>
      <c r="R244" s="10">
        <v>3</v>
      </c>
      <c r="S244" s="10">
        <v>1</v>
      </c>
      <c r="T244" s="7">
        <f t="shared" si="29"/>
        <v>3</v>
      </c>
      <c r="U244" s="7" t="str">
        <f>INDEX('Scales &amp; Matrix'!$B$13:$F$17,6-S244,R244)</f>
        <v>Low</v>
      </c>
      <c r="V244" s="11">
        <f t="shared" si="30"/>
        <v>1</v>
      </c>
      <c r="W244" s="12">
        <f t="shared" si="31"/>
        <v>0.25</v>
      </c>
      <c r="X244" s="9" t="s">
        <v>97</v>
      </c>
      <c r="Y244" s="7" t="s">
        <v>847</v>
      </c>
      <c r="Z244" s="7" t="s">
        <v>759</v>
      </c>
      <c r="AA244" s="9" t="str">
        <f t="shared" si="32"/>
        <v/>
      </c>
      <c r="AB244" s="13">
        <f t="shared" si="33"/>
        <v>3049756</v>
      </c>
      <c r="AC244" s="13">
        <f t="shared" si="34"/>
        <v>3049756</v>
      </c>
      <c r="AD244" s="13">
        <f t="shared" si="35"/>
        <v>0</v>
      </c>
    </row>
    <row r="245" spans="1:30" ht="38.25" x14ac:dyDescent="0.25">
      <c r="A245" s="7">
        <f t="shared" si="27"/>
        <v>230</v>
      </c>
      <c r="B245" s="7" t="s">
        <v>1154</v>
      </c>
      <c r="C245" s="7" t="s">
        <v>988</v>
      </c>
      <c r="D245" s="8" t="str">
        <f>INDEX('Summary by Assessment'!$C$5:$C$101,MATCH(C245,'Summary by Assessment'!$B$5:$B$101,0))</f>
        <v>Perth</v>
      </c>
      <c r="E245" s="9" t="s">
        <v>989</v>
      </c>
      <c r="F245" s="9" t="s">
        <v>170</v>
      </c>
      <c r="G245" s="9" t="s">
        <v>295</v>
      </c>
      <c r="H245" s="7" t="s">
        <v>990</v>
      </c>
      <c r="I245" s="7" t="s">
        <v>53</v>
      </c>
      <c r="J245" s="9" t="s">
        <v>1155</v>
      </c>
      <c r="K245" s="9" t="s">
        <v>1156</v>
      </c>
      <c r="L245" s="9" t="s">
        <v>1157</v>
      </c>
      <c r="M245" s="10">
        <v>4</v>
      </c>
      <c r="N245" s="10">
        <v>1</v>
      </c>
      <c r="O245" s="7">
        <f t="shared" si="28"/>
        <v>4</v>
      </c>
      <c r="P245" s="7" t="str">
        <f>INDEX('Scales &amp; Matrix'!$B$13:$F$17,6-N245,M245)</f>
        <v>Moderate</v>
      </c>
      <c r="Q245" s="9" t="s">
        <v>1158</v>
      </c>
      <c r="R245" s="10">
        <v>3</v>
      </c>
      <c r="S245" s="10">
        <v>1</v>
      </c>
      <c r="T245" s="7">
        <f t="shared" si="29"/>
        <v>3</v>
      </c>
      <c r="U245" s="7" t="str">
        <f>INDEX('Scales &amp; Matrix'!$B$13:$F$17,6-S245,R245)</f>
        <v>Low</v>
      </c>
      <c r="V245" s="11">
        <f t="shared" si="30"/>
        <v>1</v>
      </c>
      <c r="W245" s="12">
        <f t="shared" si="31"/>
        <v>0.25</v>
      </c>
      <c r="X245" s="9" t="s">
        <v>105</v>
      </c>
      <c r="Y245" s="7" t="s">
        <v>847</v>
      </c>
      <c r="Z245" s="7" t="s">
        <v>759</v>
      </c>
      <c r="AA245" s="9" t="str">
        <f t="shared" si="32"/>
        <v/>
      </c>
      <c r="AB245" s="13">
        <f t="shared" si="33"/>
        <v>3049755</v>
      </c>
      <c r="AC245" s="13">
        <f t="shared" si="34"/>
        <v>3049755</v>
      </c>
      <c r="AD245" s="13">
        <f t="shared" si="35"/>
        <v>0</v>
      </c>
    </row>
    <row r="246" spans="1:30" ht="89.25" x14ac:dyDescent="0.25">
      <c r="A246" s="7">
        <f t="shared" si="27"/>
        <v>242</v>
      </c>
      <c r="B246" s="7" t="s">
        <v>1159</v>
      </c>
      <c r="C246" s="7" t="s">
        <v>797</v>
      </c>
      <c r="D246" s="8" t="str">
        <f>INDEX('Summary by Assessment'!$C$5:$C$101,MATCH(C246,'Summary by Assessment'!$B$5:$B$101,0))</f>
        <v>Fremantle</v>
      </c>
      <c r="E246" s="9" t="s">
        <v>798</v>
      </c>
      <c r="F246" s="9" t="s">
        <v>50</v>
      </c>
      <c r="G246" s="9" t="s">
        <v>51</v>
      </c>
      <c r="H246" s="7" t="s">
        <v>91</v>
      </c>
      <c r="I246" s="7" t="s">
        <v>39</v>
      </c>
      <c r="J246" s="9" t="s">
        <v>1160</v>
      </c>
      <c r="K246" s="9" t="s">
        <v>453</v>
      </c>
      <c r="L246" s="9" t="s">
        <v>1161</v>
      </c>
      <c r="M246" s="10">
        <v>4</v>
      </c>
      <c r="N246" s="10">
        <v>3</v>
      </c>
      <c r="O246" s="7">
        <f t="shared" si="28"/>
        <v>12</v>
      </c>
      <c r="P246" s="7" t="str">
        <f>INDEX('Scales &amp; Matrix'!$B$13:$F$17,6-N246,M246)</f>
        <v>High</v>
      </c>
      <c r="Q246" s="9" t="s">
        <v>1162</v>
      </c>
      <c r="R246" s="10">
        <v>2</v>
      </c>
      <c r="S246" s="10">
        <v>1</v>
      </c>
      <c r="T246" s="7">
        <f t="shared" si="29"/>
        <v>2</v>
      </c>
      <c r="U246" s="7" t="str">
        <f>INDEX('Scales &amp; Matrix'!$B$13:$F$17,6-S246,R246)</f>
        <v>Very Low</v>
      </c>
      <c r="V246" s="11">
        <f t="shared" si="30"/>
        <v>10</v>
      </c>
      <c r="W246" s="12">
        <f t="shared" si="31"/>
        <v>0.83333333333333337</v>
      </c>
      <c r="X246" s="9" t="s">
        <v>67</v>
      </c>
      <c r="Y246" s="7" t="s">
        <v>46</v>
      </c>
      <c r="Z246" s="7" t="s">
        <v>1105</v>
      </c>
      <c r="AA246" s="9" t="str">
        <f t="shared" si="32"/>
        <v/>
      </c>
      <c r="AB246" s="13">
        <f t="shared" si="33"/>
        <v>2129754</v>
      </c>
      <c r="AC246" s="13">
        <f t="shared" si="34"/>
        <v>0</v>
      </c>
      <c r="AD246" s="13">
        <f t="shared" si="35"/>
        <v>2129754</v>
      </c>
    </row>
    <row r="247" spans="1:30" ht="51" x14ac:dyDescent="0.25">
      <c r="A247" s="7">
        <f t="shared" si="27"/>
        <v>242</v>
      </c>
      <c r="B247" s="7" t="s">
        <v>1163</v>
      </c>
      <c r="C247" s="7" t="s">
        <v>893</v>
      </c>
      <c r="D247" s="8" t="str">
        <f>INDEX('Summary by Assessment'!$C$5:$C$101,MATCH(C247,'Summary by Assessment'!$B$5:$B$101,0))</f>
        <v>Fremantle</v>
      </c>
      <c r="E247" s="9" t="s">
        <v>894</v>
      </c>
      <c r="F247" s="9" t="s">
        <v>50</v>
      </c>
      <c r="G247" s="9" t="s">
        <v>51</v>
      </c>
      <c r="H247" s="7" t="s">
        <v>91</v>
      </c>
      <c r="I247" s="7" t="s">
        <v>53</v>
      </c>
      <c r="J247" s="9" t="s">
        <v>1164</v>
      </c>
      <c r="K247" s="9" t="s">
        <v>94</v>
      </c>
      <c r="L247" s="9" t="s">
        <v>1165</v>
      </c>
      <c r="M247" s="10">
        <v>5</v>
      </c>
      <c r="N247" s="10">
        <v>2</v>
      </c>
      <c r="O247" s="7">
        <f t="shared" si="28"/>
        <v>10</v>
      </c>
      <c r="P247" s="7" t="str">
        <f>INDEX('Scales &amp; Matrix'!$B$13:$F$17,6-N247,M247)</f>
        <v>High</v>
      </c>
      <c r="Q247" s="9" t="s">
        <v>1166</v>
      </c>
      <c r="R247" s="10">
        <v>2</v>
      </c>
      <c r="S247" s="10">
        <v>1</v>
      </c>
      <c r="T247" s="7">
        <f t="shared" si="29"/>
        <v>2</v>
      </c>
      <c r="U247" s="7" t="str">
        <f>INDEX('Scales &amp; Matrix'!$B$13:$F$17,6-S247,R247)</f>
        <v>Very Low</v>
      </c>
      <c r="V247" s="11">
        <f t="shared" si="30"/>
        <v>8</v>
      </c>
      <c r="W247" s="12">
        <f t="shared" si="31"/>
        <v>0.8</v>
      </c>
      <c r="X247" s="9" t="s">
        <v>898</v>
      </c>
      <c r="Y247" s="7" t="s">
        <v>87</v>
      </c>
      <c r="Z247" s="7" t="s">
        <v>1105</v>
      </c>
      <c r="AA247" s="9" t="str">
        <f t="shared" si="32"/>
        <v/>
      </c>
      <c r="AB247" s="13">
        <f t="shared" si="33"/>
        <v>2109753</v>
      </c>
      <c r="AC247" s="13">
        <f t="shared" si="34"/>
        <v>0</v>
      </c>
      <c r="AD247" s="13">
        <f t="shared" si="35"/>
        <v>2109753</v>
      </c>
    </row>
    <row r="248" spans="1:30" ht="51" x14ac:dyDescent="0.25">
      <c r="A248" s="7">
        <f t="shared" si="27"/>
        <v>242</v>
      </c>
      <c r="B248" s="7" t="s">
        <v>1167</v>
      </c>
      <c r="C248" s="7" t="s">
        <v>900</v>
      </c>
      <c r="D248" s="8" t="str">
        <f>INDEX('Summary by Assessment'!$C$5:$C$101,MATCH(C248,'Summary by Assessment'!$B$5:$B$101,0))</f>
        <v>Perth</v>
      </c>
      <c r="E248" s="9" t="s">
        <v>901</v>
      </c>
      <c r="F248" s="9" t="s">
        <v>50</v>
      </c>
      <c r="G248" s="9" t="s">
        <v>51</v>
      </c>
      <c r="H248" s="7" t="s">
        <v>902</v>
      </c>
      <c r="I248" s="7" t="s">
        <v>53</v>
      </c>
      <c r="J248" s="9" t="s">
        <v>1164</v>
      </c>
      <c r="K248" s="9" t="s">
        <v>94</v>
      </c>
      <c r="L248" s="9" t="s">
        <v>1165</v>
      </c>
      <c r="M248" s="10">
        <v>5</v>
      </c>
      <c r="N248" s="10">
        <v>2</v>
      </c>
      <c r="O248" s="7">
        <f t="shared" si="28"/>
        <v>10</v>
      </c>
      <c r="P248" s="7" t="str">
        <f>INDEX('Scales &amp; Matrix'!$B$13:$F$17,6-N248,M248)</f>
        <v>High</v>
      </c>
      <c r="Q248" s="9" t="s">
        <v>1166</v>
      </c>
      <c r="R248" s="10">
        <v>2</v>
      </c>
      <c r="S248" s="10">
        <v>1</v>
      </c>
      <c r="T248" s="7">
        <f t="shared" si="29"/>
        <v>2</v>
      </c>
      <c r="U248" s="7" t="str">
        <f>INDEX('Scales &amp; Matrix'!$B$13:$F$17,6-S248,R248)</f>
        <v>Very Low</v>
      </c>
      <c r="V248" s="11">
        <f t="shared" si="30"/>
        <v>8</v>
      </c>
      <c r="W248" s="12">
        <f t="shared" si="31"/>
        <v>0.8</v>
      </c>
      <c r="X248" s="9" t="s">
        <v>898</v>
      </c>
      <c r="Y248" s="7" t="s">
        <v>87</v>
      </c>
      <c r="Z248" s="7" t="s">
        <v>1105</v>
      </c>
      <c r="AA248" s="9" t="str">
        <f t="shared" si="32"/>
        <v/>
      </c>
      <c r="AB248" s="13">
        <f t="shared" si="33"/>
        <v>2109752</v>
      </c>
      <c r="AC248" s="13">
        <f t="shared" si="34"/>
        <v>2109752</v>
      </c>
      <c r="AD248" s="13">
        <f t="shared" si="35"/>
        <v>0</v>
      </c>
    </row>
    <row r="249" spans="1:30" ht="63.75" x14ac:dyDescent="0.25">
      <c r="A249" s="7">
        <f t="shared" si="27"/>
        <v>242</v>
      </c>
      <c r="B249" s="7" t="s">
        <v>1168</v>
      </c>
      <c r="C249" s="7" t="s">
        <v>483</v>
      </c>
      <c r="D249" s="8" t="str">
        <f>INDEX('Summary by Assessment'!$C$5:$C$101,MATCH(C249,'Summary by Assessment'!$B$5:$B$101,0))</f>
        <v>Fremantle</v>
      </c>
      <c r="E249" s="9" t="s">
        <v>484</v>
      </c>
      <c r="F249" s="9" t="s">
        <v>36</v>
      </c>
      <c r="G249" s="9" t="s">
        <v>51</v>
      </c>
      <c r="H249" s="7" t="s">
        <v>91</v>
      </c>
      <c r="I249" s="7" t="s">
        <v>53</v>
      </c>
      <c r="J249" s="9" t="s">
        <v>1169</v>
      </c>
      <c r="K249" s="9" t="s">
        <v>73</v>
      </c>
      <c r="L249" s="9" t="s">
        <v>1170</v>
      </c>
      <c r="M249" s="10">
        <v>3</v>
      </c>
      <c r="N249" s="10">
        <v>3</v>
      </c>
      <c r="O249" s="7">
        <f t="shared" si="28"/>
        <v>9</v>
      </c>
      <c r="P249" s="7" t="str">
        <f>INDEX('Scales &amp; Matrix'!$B$13:$F$17,6-N249,M249)</f>
        <v>Moderate</v>
      </c>
      <c r="Q249" s="9" t="s">
        <v>1171</v>
      </c>
      <c r="R249" s="10">
        <v>2</v>
      </c>
      <c r="S249" s="10">
        <v>1</v>
      </c>
      <c r="T249" s="7">
        <f t="shared" si="29"/>
        <v>2</v>
      </c>
      <c r="U249" s="7" t="str">
        <f>INDEX('Scales &amp; Matrix'!$B$13:$F$17,6-S249,R249)</f>
        <v>Very Low</v>
      </c>
      <c r="V249" s="11">
        <f t="shared" si="30"/>
        <v>7</v>
      </c>
      <c r="W249" s="12">
        <f t="shared" si="31"/>
        <v>0.77777777777777779</v>
      </c>
      <c r="X249" s="9" t="s">
        <v>1172</v>
      </c>
      <c r="Y249" s="7" t="s">
        <v>76</v>
      </c>
      <c r="Z249" s="7" t="s">
        <v>1105</v>
      </c>
      <c r="AA249" s="9" t="str">
        <f t="shared" si="32"/>
        <v/>
      </c>
      <c r="AB249" s="13">
        <f t="shared" si="33"/>
        <v>2099751</v>
      </c>
      <c r="AC249" s="13">
        <f t="shared" si="34"/>
        <v>0</v>
      </c>
      <c r="AD249" s="13">
        <f t="shared" si="35"/>
        <v>2099751</v>
      </c>
    </row>
    <row r="250" spans="1:30" ht="38.25" x14ac:dyDescent="0.25">
      <c r="A250" s="7">
        <f t="shared" si="27"/>
        <v>242</v>
      </c>
      <c r="B250" s="7" t="s">
        <v>1173</v>
      </c>
      <c r="C250" s="7" t="s">
        <v>964</v>
      </c>
      <c r="D250" s="8" t="str">
        <f>INDEX('Summary by Assessment'!$C$5:$C$101,MATCH(C250,'Summary by Assessment'!$B$5:$B$101,0))</f>
        <v>Fremantle</v>
      </c>
      <c r="E250" s="9" t="s">
        <v>965</v>
      </c>
      <c r="F250" s="9" t="s">
        <v>966</v>
      </c>
      <c r="G250" s="9" t="s">
        <v>51</v>
      </c>
      <c r="H250" s="7" t="s">
        <v>91</v>
      </c>
      <c r="I250" s="7" t="s">
        <v>92</v>
      </c>
      <c r="J250" s="9" t="s">
        <v>1174</v>
      </c>
      <c r="K250" s="9" t="s">
        <v>1175</v>
      </c>
      <c r="L250" s="9" t="s">
        <v>1176</v>
      </c>
      <c r="M250" s="10">
        <v>3</v>
      </c>
      <c r="N250" s="10">
        <v>3</v>
      </c>
      <c r="O250" s="7">
        <f t="shared" si="28"/>
        <v>9</v>
      </c>
      <c r="P250" s="7" t="str">
        <f>INDEX('Scales &amp; Matrix'!$B$13:$F$17,6-N250,M250)</f>
        <v>Moderate</v>
      </c>
      <c r="Q250" s="9" t="s">
        <v>1177</v>
      </c>
      <c r="R250" s="10">
        <v>2</v>
      </c>
      <c r="S250" s="10">
        <v>1</v>
      </c>
      <c r="T250" s="7">
        <f t="shared" si="29"/>
        <v>2</v>
      </c>
      <c r="U250" s="7" t="str">
        <f>INDEX('Scales &amp; Matrix'!$B$13:$F$17,6-S250,R250)</f>
        <v>Very Low</v>
      </c>
      <c r="V250" s="11">
        <f t="shared" si="30"/>
        <v>7</v>
      </c>
      <c r="W250" s="12">
        <f t="shared" si="31"/>
        <v>0.77777777777777779</v>
      </c>
      <c r="X250" s="9" t="s">
        <v>1178</v>
      </c>
      <c r="Y250" s="7" t="s">
        <v>76</v>
      </c>
      <c r="Z250" s="7" t="s">
        <v>1105</v>
      </c>
      <c r="AA250" s="9" t="str">
        <f t="shared" si="32"/>
        <v/>
      </c>
      <c r="AB250" s="13">
        <f t="shared" si="33"/>
        <v>2099750</v>
      </c>
      <c r="AC250" s="13">
        <f t="shared" si="34"/>
        <v>0</v>
      </c>
      <c r="AD250" s="13">
        <f t="shared" si="35"/>
        <v>2099750</v>
      </c>
    </row>
    <row r="251" spans="1:30" ht="51" x14ac:dyDescent="0.25">
      <c r="A251" s="7">
        <f t="shared" si="27"/>
        <v>242</v>
      </c>
      <c r="B251" s="7" t="s">
        <v>1179</v>
      </c>
      <c r="C251" s="7" t="s">
        <v>964</v>
      </c>
      <c r="D251" s="8" t="str">
        <f>INDEX('Summary by Assessment'!$C$5:$C$101,MATCH(C251,'Summary by Assessment'!$B$5:$B$101,0))</f>
        <v>Fremantle</v>
      </c>
      <c r="E251" s="9" t="s">
        <v>965</v>
      </c>
      <c r="F251" s="9" t="s">
        <v>966</v>
      </c>
      <c r="G251" s="9" t="s">
        <v>51</v>
      </c>
      <c r="H251" s="7" t="s">
        <v>91</v>
      </c>
      <c r="I251" s="7" t="s">
        <v>39</v>
      </c>
      <c r="J251" s="9" t="s">
        <v>1180</v>
      </c>
      <c r="K251" s="9" t="s">
        <v>477</v>
      </c>
      <c r="L251" s="9" t="s">
        <v>1181</v>
      </c>
      <c r="M251" s="10">
        <v>3</v>
      </c>
      <c r="N251" s="10">
        <v>3</v>
      </c>
      <c r="O251" s="7">
        <f t="shared" si="28"/>
        <v>9</v>
      </c>
      <c r="P251" s="7" t="str">
        <f>INDEX('Scales &amp; Matrix'!$B$13:$F$17,6-N251,M251)</f>
        <v>Moderate</v>
      </c>
      <c r="Q251" s="9" t="s">
        <v>1182</v>
      </c>
      <c r="R251" s="10">
        <v>2</v>
      </c>
      <c r="S251" s="10">
        <v>1</v>
      </c>
      <c r="T251" s="7">
        <f t="shared" si="29"/>
        <v>2</v>
      </c>
      <c r="U251" s="7" t="str">
        <f>INDEX('Scales &amp; Matrix'!$B$13:$F$17,6-S251,R251)</f>
        <v>Very Low</v>
      </c>
      <c r="V251" s="11">
        <f t="shared" si="30"/>
        <v>7</v>
      </c>
      <c r="W251" s="12">
        <f t="shared" si="31"/>
        <v>0.77777777777777779</v>
      </c>
      <c r="X251" s="9" t="s">
        <v>1183</v>
      </c>
      <c r="Y251" s="7" t="s">
        <v>76</v>
      </c>
      <c r="Z251" s="7" t="s">
        <v>1105</v>
      </c>
      <c r="AA251" s="9" t="str">
        <f t="shared" si="32"/>
        <v/>
      </c>
      <c r="AB251" s="13">
        <f t="shared" si="33"/>
        <v>2099749</v>
      </c>
      <c r="AC251" s="13">
        <f t="shared" si="34"/>
        <v>0</v>
      </c>
      <c r="AD251" s="13">
        <f t="shared" si="35"/>
        <v>2099749</v>
      </c>
    </row>
    <row r="252" spans="1:30" ht="38.25" x14ac:dyDescent="0.25">
      <c r="A252" s="7">
        <f t="shared" si="27"/>
        <v>242</v>
      </c>
      <c r="B252" s="7" t="s">
        <v>1184</v>
      </c>
      <c r="C252" s="7" t="s">
        <v>986</v>
      </c>
      <c r="D252" s="8" t="str">
        <f>INDEX('Summary by Assessment'!$C$5:$C$101,MATCH(C252,'Summary by Assessment'!$B$5:$B$101,0))</f>
        <v>Perth</v>
      </c>
      <c r="E252" s="9" t="s">
        <v>965</v>
      </c>
      <c r="F252" s="9" t="s">
        <v>966</v>
      </c>
      <c r="G252" s="9" t="s">
        <v>51</v>
      </c>
      <c r="H252" s="7" t="s">
        <v>52</v>
      </c>
      <c r="I252" s="7" t="s">
        <v>92</v>
      </c>
      <c r="J252" s="9" t="s">
        <v>1174</v>
      </c>
      <c r="K252" s="9" t="s">
        <v>1175</v>
      </c>
      <c r="L252" s="9" t="s">
        <v>1176</v>
      </c>
      <c r="M252" s="10">
        <v>3</v>
      </c>
      <c r="N252" s="10">
        <v>3</v>
      </c>
      <c r="O252" s="7">
        <f t="shared" si="28"/>
        <v>9</v>
      </c>
      <c r="P252" s="7" t="str">
        <f>INDEX('Scales &amp; Matrix'!$B$13:$F$17,6-N252,M252)</f>
        <v>Moderate</v>
      </c>
      <c r="Q252" s="9" t="s">
        <v>1177</v>
      </c>
      <c r="R252" s="10">
        <v>2</v>
      </c>
      <c r="S252" s="10">
        <v>1</v>
      </c>
      <c r="T252" s="7">
        <f t="shared" si="29"/>
        <v>2</v>
      </c>
      <c r="U252" s="7" t="str">
        <f>INDEX('Scales &amp; Matrix'!$B$13:$F$17,6-S252,R252)</f>
        <v>Very Low</v>
      </c>
      <c r="V252" s="11">
        <f t="shared" si="30"/>
        <v>7</v>
      </c>
      <c r="W252" s="12">
        <f t="shared" si="31"/>
        <v>0.77777777777777779</v>
      </c>
      <c r="X252" s="9" t="s">
        <v>1178</v>
      </c>
      <c r="Y252" s="7" t="s">
        <v>76</v>
      </c>
      <c r="Z252" s="7" t="s">
        <v>1105</v>
      </c>
      <c r="AA252" s="9" t="str">
        <f t="shared" si="32"/>
        <v/>
      </c>
      <c r="AB252" s="13">
        <f t="shared" si="33"/>
        <v>2099748</v>
      </c>
      <c r="AC252" s="13">
        <f t="shared" si="34"/>
        <v>2099748</v>
      </c>
      <c r="AD252" s="13">
        <f t="shared" si="35"/>
        <v>0</v>
      </c>
    </row>
    <row r="253" spans="1:30" ht="51" x14ac:dyDescent="0.25">
      <c r="A253" s="7">
        <f t="shared" si="27"/>
        <v>242</v>
      </c>
      <c r="B253" s="7" t="s">
        <v>1185</v>
      </c>
      <c r="C253" s="7" t="s">
        <v>986</v>
      </c>
      <c r="D253" s="8" t="str">
        <f>INDEX('Summary by Assessment'!$C$5:$C$101,MATCH(C253,'Summary by Assessment'!$B$5:$B$101,0))</f>
        <v>Perth</v>
      </c>
      <c r="E253" s="9" t="s">
        <v>965</v>
      </c>
      <c r="F253" s="9" t="s">
        <v>966</v>
      </c>
      <c r="G253" s="9" t="s">
        <v>51</v>
      </c>
      <c r="H253" s="7" t="s">
        <v>52</v>
      </c>
      <c r="I253" s="7" t="s">
        <v>39</v>
      </c>
      <c r="J253" s="9" t="s">
        <v>1180</v>
      </c>
      <c r="K253" s="9" t="s">
        <v>477</v>
      </c>
      <c r="L253" s="9" t="s">
        <v>1181</v>
      </c>
      <c r="M253" s="10">
        <v>3</v>
      </c>
      <c r="N253" s="10">
        <v>3</v>
      </c>
      <c r="O253" s="7">
        <f t="shared" si="28"/>
        <v>9</v>
      </c>
      <c r="P253" s="7" t="str">
        <f>INDEX('Scales &amp; Matrix'!$B$13:$F$17,6-N253,M253)</f>
        <v>Moderate</v>
      </c>
      <c r="Q253" s="9" t="s">
        <v>1182</v>
      </c>
      <c r="R253" s="10">
        <v>2</v>
      </c>
      <c r="S253" s="10">
        <v>1</v>
      </c>
      <c r="T253" s="7">
        <f t="shared" si="29"/>
        <v>2</v>
      </c>
      <c r="U253" s="7" t="str">
        <f>INDEX('Scales &amp; Matrix'!$B$13:$F$17,6-S253,R253)</f>
        <v>Very Low</v>
      </c>
      <c r="V253" s="11">
        <f t="shared" si="30"/>
        <v>7</v>
      </c>
      <c r="W253" s="12">
        <f t="shared" si="31"/>
        <v>0.77777777777777779</v>
      </c>
      <c r="X253" s="9" t="s">
        <v>1183</v>
      </c>
      <c r="Y253" s="7" t="s">
        <v>76</v>
      </c>
      <c r="Z253" s="7" t="s">
        <v>1105</v>
      </c>
      <c r="AA253" s="9" t="str">
        <f t="shared" si="32"/>
        <v/>
      </c>
      <c r="AB253" s="13">
        <f t="shared" si="33"/>
        <v>2099747</v>
      </c>
      <c r="AC253" s="13">
        <f t="shared" si="34"/>
        <v>2099747</v>
      </c>
      <c r="AD253" s="13">
        <f t="shared" si="35"/>
        <v>0</v>
      </c>
    </row>
    <row r="254" spans="1:30" ht="63.75" x14ac:dyDescent="0.25">
      <c r="A254" s="7">
        <f t="shared" si="27"/>
        <v>242</v>
      </c>
      <c r="B254" s="7" t="s">
        <v>1186</v>
      </c>
      <c r="C254" s="7" t="s">
        <v>964</v>
      </c>
      <c r="D254" s="8" t="str">
        <f>INDEX('Summary by Assessment'!$C$5:$C$101,MATCH(C254,'Summary by Assessment'!$B$5:$B$101,0))</f>
        <v>Fremantle</v>
      </c>
      <c r="E254" s="9" t="s">
        <v>965</v>
      </c>
      <c r="F254" s="9" t="s">
        <v>966</v>
      </c>
      <c r="G254" s="9" t="s">
        <v>51</v>
      </c>
      <c r="H254" s="7" t="s">
        <v>91</v>
      </c>
      <c r="I254" s="7" t="s">
        <v>218</v>
      </c>
      <c r="J254" s="9" t="s">
        <v>1187</v>
      </c>
      <c r="K254" s="9" t="s">
        <v>1188</v>
      </c>
      <c r="L254" s="9" t="s">
        <v>1189</v>
      </c>
      <c r="M254" s="10">
        <v>3</v>
      </c>
      <c r="N254" s="10">
        <v>3</v>
      </c>
      <c r="O254" s="7">
        <f t="shared" si="28"/>
        <v>9</v>
      </c>
      <c r="P254" s="7" t="str">
        <f>INDEX('Scales &amp; Matrix'!$B$13:$F$17,6-N254,M254)</f>
        <v>Moderate</v>
      </c>
      <c r="Q254" s="9" t="s">
        <v>1190</v>
      </c>
      <c r="R254" s="10">
        <v>1</v>
      </c>
      <c r="S254" s="10">
        <v>2</v>
      </c>
      <c r="T254" s="7">
        <f t="shared" si="29"/>
        <v>2</v>
      </c>
      <c r="U254" s="7" t="str">
        <f>INDEX('Scales &amp; Matrix'!$B$13:$F$17,6-S254,R254)</f>
        <v>Very Low</v>
      </c>
      <c r="V254" s="11">
        <f t="shared" si="30"/>
        <v>7</v>
      </c>
      <c r="W254" s="12">
        <f t="shared" si="31"/>
        <v>0.77777777777777779</v>
      </c>
      <c r="X254" s="9" t="s">
        <v>1191</v>
      </c>
      <c r="Y254" s="7" t="s">
        <v>76</v>
      </c>
      <c r="Z254" s="7" t="s">
        <v>1105</v>
      </c>
      <c r="AA254" s="9" t="str">
        <f t="shared" si="32"/>
        <v/>
      </c>
      <c r="AB254" s="13">
        <f t="shared" si="33"/>
        <v>2099746</v>
      </c>
      <c r="AC254" s="13">
        <f t="shared" si="34"/>
        <v>0</v>
      </c>
      <c r="AD254" s="13">
        <f t="shared" si="35"/>
        <v>2099746</v>
      </c>
    </row>
    <row r="255" spans="1:30" ht="63.75" x14ac:dyDescent="0.25">
      <c r="A255" s="7">
        <f t="shared" si="27"/>
        <v>242</v>
      </c>
      <c r="B255" s="7" t="s">
        <v>1192</v>
      </c>
      <c r="C255" s="7" t="s">
        <v>986</v>
      </c>
      <c r="D255" s="8" t="str">
        <f>INDEX('Summary by Assessment'!$C$5:$C$101,MATCH(C255,'Summary by Assessment'!$B$5:$B$101,0))</f>
        <v>Perth</v>
      </c>
      <c r="E255" s="9" t="s">
        <v>965</v>
      </c>
      <c r="F255" s="9" t="s">
        <v>966</v>
      </c>
      <c r="G255" s="9" t="s">
        <v>51</v>
      </c>
      <c r="H255" s="7" t="s">
        <v>52</v>
      </c>
      <c r="I255" s="7" t="s">
        <v>218</v>
      </c>
      <c r="J255" s="9" t="s">
        <v>1187</v>
      </c>
      <c r="K255" s="9" t="s">
        <v>1188</v>
      </c>
      <c r="L255" s="9" t="s">
        <v>1189</v>
      </c>
      <c r="M255" s="10">
        <v>3</v>
      </c>
      <c r="N255" s="10">
        <v>3</v>
      </c>
      <c r="O255" s="7">
        <f t="shared" si="28"/>
        <v>9</v>
      </c>
      <c r="P255" s="7" t="str">
        <f>INDEX('Scales &amp; Matrix'!$B$13:$F$17,6-N255,M255)</f>
        <v>Moderate</v>
      </c>
      <c r="Q255" s="9" t="s">
        <v>1190</v>
      </c>
      <c r="R255" s="10">
        <v>1</v>
      </c>
      <c r="S255" s="10">
        <v>2</v>
      </c>
      <c r="T255" s="7">
        <f t="shared" si="29"/>
        <v>2</v>
      </c>
      <c r="U255" s="7" t="str">
        <f>INDEX('Scales &amp; Matrix'!$B$13:$F$17,6-S255,R255)</f>
        <v>Very Low</v>
      </c>
      <c r="V255" s="11">
        <f t="shared" si="30"/>
        <v>7</v>
      </c>
      <c r="W255" s="12">
        <f t="shared" si="31"/>
        <v>0.77777777777777779</v>
      </c>
      <c r="X255" s="9" t="s">
        <v>1191</v>
      </c>
      <c r="Y255" s="7" t="s">
        <v>76</v>
      </c>
      <c r="Z255" s="7" t="s">
        <v>1105</v>
      </c>
      <c r="AA255" s="9" t="str">
        <f t="shared" si="32"/>
        <v/>
      </c>
      <c r="AB255" s="13">
        <f t="shared" si="33"/>
        <v>2099745</v>
      </c>
      <c r="AC255" s="13">
        <f t="shared" si="34"/>
        <v>2099745</v>
      </c>
      <c r="AD255" s="13">
        <f t="shared" si="35"/>
        <v>0</v>
      </c>
    </row>
    <row r="256" spans="1:30" ht="51" x14ac:dyDescent="0.25">
      <c r="A256" s="7">
        <f t="shared" si="27"/>
        <v>242</v>
      </c>
      <c r="B256" s="7" t="s">
        <v>1193</v>
      </c>
      <c r="C256" s="7" t="s">
        <v>995</v>
      </c>
      <c r="D256" s="8" t="str">
        <f>INDEX('Summary by Assessment'!$C$5:$C$101,MATCH(C256,'Summary by Assessment'!$B$5:$B$101,0))</f>
        <v>Fremantle</v>
      </c>
      <c r="E256" s="9" t="s">
        <v>996</v>
      </c>
      <c r="F256" s="9" t="s">
        <v>50</v>
      </c>
      <c r="G256" s="9" t="s">
        <v>51</v>
      </c>
      <c r="H256" s="7" t="s">
        <v>997</v>
      </c>
      <c r="I256" s="7" t="s">
        <v>218</v>
      </c>
      <c r="J256" s="9" t="s">
        <v>1194</v>
      </c>
      <c r="K256" s="9" t="s">
        <v>94</v>
      </c>
      <c r="L256" s="9" t="s">
        <v>1195</v>
      </c>
      <c r="M256" s="10">
        <v>4</v>
      </c>
      <c r="N256" s="10">
        <v>2</v>
      </c>
      <c r="O256" s="7">
        <f t="shared" si="28"/>
        <v>8</v>
      </c>
      <c r="P256" s="7" t="str">
        <f>INDEX('Scales &amp; Matrix'!$B$13:$F$17,6-N256,M256)</f>
        <v>Moderate</v>
      </c>
      <c r="Q256" s="9" t="s">
        <v>1196</v>
      </c>
      <c r="R256" s="10">
        <v>2</v>
      </c>
      <c r="S256" s="10">
        <v>1</v>
      </c>
      <c r="T256" s="7">
        <f t="shared" si="29"/>
        <v>2</v>
      </c>
      <c r="U256" s="7" t="str">
        <f>INDEX('Scales &amp; Matrix'!$B$13:$F$17,6-S256,R256)</f>
        <v>Very Low</v>
      </c>
      <c r="V256" s="11">
        <f t="shared" si="30"/>
        <v>6</v>
      </c>
      <c r="W256" s="12">
        <f t="shared" si="31"/>
        <v>0.75</v>
      </c>
      <c r="X256" s="9" t="s">
        <v>1197</v>
      </c>
      <c r="Y256" s="7" t="s">
        <v>316</v>
      </c>
      <c r="Z256" s="7" t="s">
        <v>1105</v>
      </c>
      <c r="AA256" s="9" t="str">
        <f t="shared" si="32"/>
        <v/>
      </c>
      <c r="AB256" s="13">
        <f t="shared" si="33"/>
        <v>2089744</v>
      </c>
      <c r="AC256" s="13">
        <f t="shared" si="34"/>
        <v>0</v>
      </c>
      <c r="AD256" s="13">
        <f t="shared" si="35"/>
        <v>2089744</v>
      </c>
    </row>
    <row r="257" spans="1:30" ht="89.25" x14ac:dyDescent="0.25">
      <c r="A257" s="7">
        <f t="shared" si="27"/>
        <v>242</v>
      </c>
      <c r="B257" s="7" t="s">
        <v>1198</v>
      </c>
      <c r="C257" s="7" t="s">
        <v>355</v>
      </c>
      <c r="D257" s="8" t="str">
        <f>INDEX('Summary by Assessment'!$C$5:$C$101,MATCH(C257,'Summary by Assessment'!$B$5:$B$101,0))</f>
        <v>Fremantle</v>
      </c>
      <c r="E257" s="9" t="s">
        <v>356</v>
      </c>
      <c r="F257" s="9" t="s">
        <v>232</v>
      </c>
      <c r="G257" s="9" t="s">
        <v>51</v>
      </c>
      <c r="H257" s="7" t="s">
        <v>357</v>
      </c>
      <c r="I257" s="7" t="s">
        <v>92</v>
      </c>
      <c r="J257" s="9" t="s">
        <v>1199</v>
      </c>
      <c r="K257" s="9" t="s">
        <v>968</v>
      </c>
      <c r="L257" s="9" t="s">
        <v>1200</v>
      </c>
      <c r="M257" s="10">
        <v>4</v>
      </c>
      <c r="N257" s="10">
        <v>2</v>
      </c>
      <c r="O257" s="7">
        <f t="shared" si="28"/>
        <v>8</v>
      </c>
      <c r="P257" s="7" t="str">
        <f>INDEX('Scales &amp; Matrix'!$B$13:$F$17,6-N257,M257)</f>
        <v>Moderate</v>
      </c>
      <c r="Q257" s="9" t="s">
        <v>1201</v>
      </c>
      <c r="R257" s="10">
        <v>2</v>
      </c>
      <c r="S257" s="10">
        <v>1</v>
      </c>
      <c r="T257" s="7">
        <f t="shared" si="29"/>
        <v>2</v>
      </c>
      <c r="U257" s="7" t="str">
        <f>INDEX('Scales &amp; Matrix'!$B$13:$F$17,6-S257,R257)</f>
        <v>Very Low</v>
      </c>
      <c r="V257" s="11">
        <f t="shared" si="30"/>
        <v>6</v>
      </c>
      <c r="W257" s="12">
        <f t="shared" si="31"/>
        <v>0.75</v>
      </c>
      <c r="X257" s="9" t="s">
        <v>1202</v>
      </c>
      <c r="Y257" s="7" t="s">
        <v>316</v>
      </c>
      <c r="Z257" s="7" t="s">
        <v>1105</v>
      </c>
      <c r="AA257" s="9" t="str">
        <f t="shared" si="32"/>
        <v/>
      </c>
      <c r="AB257" s="13">
        <f t="shared" si="33"/>
        <v>2089743</v>
      </c>
      <c r="AC257" s="13">
        <f t="shared" si="34"/>
        <v>0</v>
      </c>
      <c r="AD257" s="13">
        <f t="shared" si="35"/>
        <v>2089743</v>
      </c>
    </row>
    <row r="258" spans="1:30" ht="178.5" x14ac:dyDescent="0.25">
      <c r="A258" s="7">
        <f t="shared" si="27"/>
        <v>242</v>
      </c>
      <c r="B258" s="7" t="s">
        <v>1203</v>
      </c>
      <c r="C258" s="7" t="s">
        <v>789</v>
      </c>
      <c r="D258" s="8" t="str">
        <f>INDEX('Summary by Assessment'!$C$5:$C$101,MATCH(C258,'Summary by Assessment'!$B$5:$B$101,0))</f>
        <v>Perth</v>
      </c>
      <c r="E258" s="9" t="s">
        <v>790</v>
      </c>
      <c r="F258" s="9" t="s">
        <v>232</v>
      </c>
      <c r="G258" s="9" t="s">
        <v>51</v>
      </c>
      <c r="H258" s="7" t="s">
        <v>549</v>
      </c>
      <c r="I258" s="7" t="s">
        <v>39</v>
      </c>
      <c r="J258" s="9" t="s">
        <v>1204</v>
      </c>
      <c r="K258" s="9" t="s">
        <v>94</v>
      </c>
      <c r="L258" s="9" t="s">
        <v>1205</v>
      </c>
      <c r="M258" s="10">
        <v>4</v>
      </c>
      <c r="N258" s="10">
        <v>2</v>
      </c>
      <c r="O258" s="7">
        <f t="shared" si="28"/>
        <v>8</v>
      </c>
      <c r="P258" s="7" t="str">
        <f>INDEX('Scales &amp; Matrix'!$B$13:$F$17,6-N258,M258)</f>
        <v>Moderate</v>
      </c>
      <c r="Q258" s="9" t="s">
        <v>1206</v>
      </c>
      <c r="R258" s="10">
        <v>2</v>
      </c>
      <c r="S258" s="10">
        <v>1</v>
      </c>
      <c r="T258" s="7">
        <f t="shared" si="29"/>
        <v>2</v>
      </c>
      <c r="U258" s="7" t="str">
        <f>INDEX('Scales &amp; Matrix'!$B$13:$F$17,6-S258,R258)</f>
        <v>Very Low</v>
      </c>
      <c r="V258" s="11">
        <f t="shared" si="30"/>
        <v>6</v>
      </c>
      <c r="W258" s="12">
        <f t="shared" si="31"/>
        <v>0.75</v>
      </c>
      <c r="X258" s="9" t="s">
        <v>1207</v>
      </c>
      <c r="Y258" s="7" t="s">
        <v>316</v>
      </c>
      <c r="Z258" s="7" t="s">
        <v>1105</v>
      </c>
      <c r="AA258" s="9" t="str">
        <f t="shared" si="32"/>
        <v/>
      </c>
      <c r="AB258" s="13">
        <f t="shared" si="33"/>
        <v>2089742</v>
      </c>
      <c r="AC258" s="13">
        <f t="shared" si="34"/>
        <v>2089742</v>
      </c>
      <c r="AD258" s="13">
        <f t="shared" si="35"/>
        <v>0</v>
      </c>
    </row>
    <row r="259" spans="1:30" ht="76.5" x14ac:dyDescent="0.25">
      <c r="A259" s="7">
        <f t="shared" si="27"/>
        <v>242</v>
      </c>
      <c r="B259" s="7" t="s">
        <v>1208</v>
      </c>
      <c r="C259" s="7" t="s">
        <v>1023</v>
      </c>
      <c r="D259" s="8" t="str">
        <f>INDEX('Summary by Assessment'!$C$5:$C$101,MATCH(C259,'Summary by Assessment'!$B$5:$B$101,0))</f>
        <v>Perth</v>
      </c>
      <c r="E259" s="9" t="s">
        <v>1024</v>
      </c>
      <c r="F259" s="9" t="s">
        <v>50</v>
      </c>
      <c r="G259" s="9" t="s">
        <v>51</v>
      </c>
      <c r="H259" s="7" t="s">
        <v>1025</v>
      </c>
      <c r="I259" s="7" t="s">
        <v>62</v>
      </c>
      <c r="J259" s="9" t="s">
        <v>1195</v>
      </c>
      <c r="K259" s="9" t="s">
        <v>94</v>
      </c>
      <c r="L259" s="9" t="s">
        <v>1209</v>
      </c>
      <c r="M259" s="10">
        <v>3</v>
      </c>
      <c r="N259" s="10">
        <v>2</v>
      </c>
      <c r="O259" s="7">
        <f t="shared" si="28"/>
        <v>6</v>
      </c>
      <c r="P259" s="7" t="str">
        <f>INDEX('Scales &amp; Matrix'!$B$13:$F$17,6-N259,M259)</f>
        <v>Moderate</v>
      </c>
      <c r="Q259" s="9" t="s">
        <v>1210</v>
      </c>
      <c r="R259" s="10">
        <v>2</v>
      </c>
      <c r="S259" s="10">
        <v>1</v>
      </c>
      <c r="T259" s="7">
        <f t="shared" si="29"/>
        <v>2</v>
      </c>
      <c r="U259" s="7" t="str">
        <f>INDEX('Scales &amp; Matrix'!$B$13:$F$17,6-S259,R259)</f>
        <v>Very Low</v>
      </c>
      <c r="V259" s="11">
        <f t="shared" si="30"/>
        <v>4</v>
      </c>
      <c r="W259" s="12">
        <f t="shared" si="31"/>
        <v>0.66666666666666663</v>
      </c>
      <c r="X259" s="9" t="s">
        <v>1001</v>
      </c>
      <c r="Y259" s="7" t="s">
        <v>311</v>
      </c>
      <c r="Z259" s="7" t="s">
        <v>1105</v>
      </c>
      <c r="AA259" s="9" t="str">
        <f t="shared" si="32"/>
        <v/>
      </c>
      <c r="AB259" s="13">
        <f t="shared" si="33"/>
        <v>2069741</v>
      </c>
      <c r="AC259" s="13">
        <f t="shared" si="34"/>
        <v>2069741</v>
      </c>
      <c r="AD259" s="13">
        <f t="shared" si="35"/>
        <v>0</v>
      </c>
    </row>
    <row r="260" spans="1:30" ht="51" x14ac:dyDescent="0.25">
      <c r="A260" s="7">
        <f t="shared" si="27"/>
        <v>242</v>
      </c>
      <c r="B260" s="7" t="s">
        <v>1211</v>
      </c>
      <c r="C260" s="7" t="s">
        <v>995</v>
      </c>
      <c r="D260" s="8" t="str">
        <f>INDEX('Summary by Assessment'!$C$5:$C$101,MATCH(C260,'Summary by Assessment'!$B$5:$B$101,0))</f>
        <v>Fremantle</v>
      </c>
      <c r="E260" s="9" t="s">
        <v>996</v>
      </c>
      <c r="F260" s="9" t="s">
        <v>50</v>
      </c>
      <c r="G260" s="9" t="s">
        <v>51</v>
      </c>
      <c r="H260" s="7" t="s">
        <v>997</v>
      </c>
      <c r="I260" s="7" t="s">
        <v>92</v>
      </c>
      <c r="J260" s="9" t="s">
        <v>1212</v>
      </c>
      <c r="K260" s="9" t="s">
        <v>94</v>
      </c>
      <c r="L260" s="9" t="s">
        <v>1213</v>
      </c>
      <c r="M260" s="10">
        <v>2</v>
      </c>
      <c r="N260" s="10">
        <v>2</v>
      </c>
      <c r="O260" s="7">
        <f t="shared" si="28"/>
        <v>4</v>
      </c>
      <c r="P260" s="7" t="str">
        <f>INDEX('Scales &amp; Matrix'!$B$13:$F$17,6-N260,M260)</f>
        <v>Low</v>
      </c>
      <c r="Q260" s="9" t="s">
        <v>1214</v>
      </c>
      <c r="R260" s="10">
        <v>2</v>
      </c>
      <c r="S260" s="10">
        <v>1</v>
      </c>
      <c r="T260" s="7">
        <f t="shared" si="29"/>
        <v>2</v>
      </c>
      <c r="U260" s="7" t="str">
        <f>INDEX('Scales &amp; Matrix'!$B$13:$F$17,6-S260,R260)</f>
        <v>Very Low</v>
      </c>
      <c r="V260" s="11">
        <f t="shared" si="30"/>
        <v>2</v>
      </c>
      <c r="W260" s="12">
        <f t="shared" si="31"/>
        <v>0.5</v>
      </c>
      <c r="X260" s="9" t="s">
        <v>176</v>
      </c>
      <c r="Y260" s="7" t="s">
        <v>742</v>
      </c>
      <c r="Z260" s="7" t="s">
        <v>1105</v>
      </c>
      <c r="AA260" s="9" t="str">
        <f t="shared" si="32"/>
        <v/>
      </c>
      <c r="AB260" s="13">
        <f t="shared" si="33"/>
        <v>2049740</v>
      </c>
      <c r="AC260" s="13">
        <f t="shared" si="34"/>
        <v>0</v>
      </c>
      <c r="AD260" s="13">
        <f t="shared" si="35"/>
        <v>2049740</v>
      </c>
    </row>
    <row r="261" spans="1:30" ht="76.5" x14ac:dyDescent="0.25">
      <c r="A261" s="7">
        <f t="shared" ref="A261:A297" si="36">COUNTIF($T$5:$T$297,"&gt;"&amp;T261)+1</f>
        <v>242</v>
      </c>
      <c r="B261" s="7" t="s">
        <v>1215</v>
      </c>
      <c r="C261" s="7" t="s">
        <v>1023</v>
      </c>
      <c r="D261" s="8" t="str">
        <f>INDEX('Summary by Assessment'!$C$5:$C$101,MATCH(C261,'Summary by Assessment'!$B$5:$B$101,0))</f>
        <v>Perth</v>
      </c>
      <c r="E261" s="9" t="s">
        <v>1024</v>
      </c>
      <c r="F261" s="9" t="s">
        <v>50</v>
      </c>
      <c r="G261" s="9" t="s">
        <v>51</v>
      </c>
      <c r="H261" s="7" t="s">
        <v>1025</v>
      </c>
      <c r="I261" s="7" t="s">
        <v>92</v>
      </c>
      <c r="J261" s="9" t="s">
        <v>1212</v>
      </c>
      <c r="K261" s="9" t="s">
        <v>94</v>
      </c>
      <c r="L261" s="9" t="s">
        <v>1216</v>
      </c>
      <c r="M261" s="10">
        <v>2</v>
      </c>
      <c r="N261" s="10">
        <v>2</v>
      </c>
      <c r="O261" s="7">
        <f t="shared" ref="O261:O324" si="37">M261*N261</f>
        <v>4</v>
      </c>
      <c r="P261" s="7" t="str">
        <f>INDEX('Scales &amp; Matrix'!$B$13:$F$17,6-N261,M261)</f>
        <v>Low</v>
      </c>
      <c r="Q261" s="9" t="s">
        <v>1214</v>
      </c>
      <c r="R261" s="10">
        <v>2</v>
      </c>
      <c r="S261" s="10">
        <v>1</v>
      </c>
      <c r="T261" s="7">
        <f t="shared" ref="T261:T324" si="38">R261*S261</f>
        <v>2</v>
      </c>
      <c r="U261" s="7" t="str">
        <f>INDEX('Scales &amp; Matrix'!$B$13:$F$17,6-S261,R261)</f>
        <v>Very Low</v>
      </c>
      <c r="V261" s="11">
        <f t="shared" ref="V261:V297" si="39">O261-T261</f>
        <v>2</v>
      </c>
      <c r="W261" s="12">
        <f t="shared" ref="W261:W324" si="40">IF(O261=0,0,V261/O261)</f>
        <v>0.5</v>
      </c>
      <c r="X261" s="9" t="s">
        <v>1217</v>
      </c>
      <c r="Y261" s="7" t="s">
        <v>742</v>
      </c>
      <c r="Z261" s="7" t="s">
        <v>1105</v>
      </c>
      <c r="AA261" s="9" t="str">
        <f t="shared" ref="AA261:AA324" si="41">TRIM(IF(T261&gt;O261,"Residual higher than inherent - check. ","")&amp;IF(O261&lt;&gt;IFERROR(VALUE(TRIM(MID(Y261,FIND(" - ",Y261)+3,3))),0),"Inherent score differs from source form. ","")&amp;IF(T261&lt;&gt;IFERROR(VALUE(TRIM(MID(Z261,FIND(" - ",Z261)+3,3))),0),"Residual score differs from source form. ","")&amp;IF(LOWER(IFERROR(TRIM(LEFT(Z261,FIND(" - ",Z261)-1)),""))&lt;&gt;LOWER(U261),"Source residual rating shown as "&amp;IFERROR(TRIM(LEFT(Z261,FIND(" - ",Z261)-1)),"")&amp;". ","")&amp;IF(LOWER(IFERROR(TRIM(LEFT(Y261,FIND(" - ",Y261)-1)),""))&lt;&gt;LOWER(P261),"Source inherent rating shown as "&amp;IFERROR(TRIM(LEFT(Y261,FIND(" - ",Y261)-1)),"")&amp;". ","")&amp;IF(LEN(TRIM(L261))&lt;6,"Placeholder - no hazard entered on form. ",""))</f>
        <v/>
      </c>
      <c r="AB261" s="13">
        <f t="shared" ref="AB261:AB297" si="42">T261*1000000+O261*10000+(10000-ROW())</f>
        <v>2049739</v>
      </c>
      <c r="AC261" s="13">
        <f t="shared" ref="AC261:AC324" si="43">IF(D261="Perth",AB261,0)</f>
        <v>2049739</v>
      </c>
      <c r="AD261" s="13">
        <f t="shared" ref="AD261:AD297" si="44">IF(D261="Fremantle",AB261,0)</f>
        <v>0</v>
      </c>
    </row>
    <row r="262" spans="1:30" ht="242.25" x14ac:dyDescent="0.25">
      <c r="A262" s="7">
        <f t="shared" si="36"/>
        <v>242</v>
      </c>
      <c r="B262" s="7" t="s">
        <v>1218</v>
      </c>
      <c r="C262" s="7" t="s">
        <v>789</v>
      </c>
      <c r="D262" s="8" t="str">
        <f>INDEX('Summary by Assessment'!$C$5:$C$101,MATCH(C262,'Summary by Assessment'!$B$5:$B$101,0))</f>
        <v>Perth</v>
      </c>
      <c r="E262" s="9" t="s">
        <v>790</v>
      </c>
      <c r="F262" s="9" t="s">
        <v>232</v>
      </c>
      <c r="G262" s="9" t="s">
        <v>51</v>
      </c>
      <c r="H262" s="7" t="s">
        <v>549</v>
      </c>
      <c r="I262" s="7" t="s">
        <v>218</v>
      </c>
      <c r="J262" s="9" t="s">
        <v>1219</v>
      </c>
      <c r="K262" s="9" t="s">
        <v>94</v>
      </c>
      <c r="L262" s="9" t="s">
        <v>1220</v>
      </c>
      <c r="M262" s="10">
        <v>4</v>
      </c>
      <c r="N262" s="10">
        <v>1</v>
      </c>
      <c r="O262" s="7">
        <f t="shared" si="37"/>
        <v>4</v>
      </c>
      <c r="P262" s="7" t="str">
        <f>INDEX('Scales &amp; Matrix'!$B$13:$F$17,6-N262,M262)</f>
        <v>Moderate</v>
      </c>
      <c r="Q262" s="9" t="s">
        <v>1221</v>
      </c>
      <c r="R262" s="10">
        <v>2</v>
      </c>
      <c r="S262" s="10">
        <v>1</v>
      </c>
      <c r="T262" s="7">
        <f t="shared" si="38"/>
        <v>2</v>
      </c>
      <c r="U262" s="7" t="str">
        <f>INDEX('Scales &amp; Matrix'!$B$13:$F$17,6-S262,R262)</f>
        <v>Very Low</v>
      </c>
      <c r="V262" s="11">
        <f t="shared" si="39"/>
        <v>2</v>
      </c>
      <c r="W262" s="12">
        <f t="shared" si="40"/>
        <v>0.5</v>
      </c>
      <c r="X262" s="9" t="s">
        <v>1222</v>
      </c>
      <c r="Y262" s="7" t="s">
        <v>847</v>
      </c>
      <c r="Z262" s="7" t="s">
        <v>1105</v>
      </c>
      <c r="AA262" s="9" t="str">
        <f t="shared" si="41"/>
        <v/>
      </c>
      <c r="AB262" s="13">
        <f t="shared" si="42"/>
        <v>2049738</v>
      </c>
      <c r="AC262" s="13">
        <f t="shared" si="43"/>
        <v>2049738</v>
      </c>
      <c r="AD262" s="13">
        <f t="shared" si="44"/>
        <v>0</v>
      </c>
    </row>
    <row r="263" spans="1:30" ht="38.25" x14ac:dyDescent="0.25">
      <c r="A263" s="7">
        <f t="shared" si="36"/>
        <v>242</v>
      </c>
      <c r="B263" s="7" t="s">
        <v>1223</v>
      </c>
      <c r="C263" s="7" t="s">
        <v>744</v>
      </c>
      <c r="D263" s="8" t="str">
        <f>INDEX('Summary by Assessment'!$C$5:$C$101,MATCH(C263,'Summary by Assessment'!$B$5:$B$101,0))</f>
        <v>Perth</v>
      </c>
      <c r="E263" s="9" t="s">
        <v>745</v>
      </c>
      <c r="F263" s="9" t="s">
        <v>232</v>
      </c>
      <c r="G263" s="9" t="s">
        <v>51</v>
      </c>
      <c r="H263" s="7" t="s">
        <v>549</v>
      </c>
      <c r="I263" s="7" t="s">
        <v>92</v>
      </c>
      <c r="J263" s="9" t="s">
        <v>1224</v>
      </c>
      <c r="K263" s="9" t="s">
        <v>1156</v>
      </c>
      <c r="L263" s="9" t="s">
        <v>1225</v>
      </c>
      <c r="M263" s="10">
        <v>2</v>
      </c>
      <c r="N263" s="10">
        <v>1</v>
      </c>
      <c r="O263" s="7">
        <f t="shared" si="37"/>
        <v>2</v>
      </c>
      <c r="P263" s="7" t="str">
        <f>INDEX('Scales &amp; Matrix'!$B$13:$F$17,6-N263,M263)</f>
        <v>Very Low</v>
      </c>
      <c r="Q263" s="9" t="s">
        <v>1226</v>
      </c>
      <c r="R263" s="10">
        <v>2</v>
      </c>
      <c r="S263" s="10">
        <v>1</v>
      </c>
      <c r="T263" s="7">
        <f t="shared" si="38"/>
        <v>2</v>
      </c>
      <c r="U263" s="7" t="str">
        <f>INDEX('Scales &amp; Matrix'!$B$13:$F$17,6-S263,R263)</f>
        <v>Very Low</v>
      </c>
      <c r="V263" s="11">
        <f t="shared" si="39"/>
        <v>0</v>
      </c>
      <c r="W263" s="12">
        <f t="shared" si="40"/>
        <v>0</v>
      </c>
      <c r="X263" s="9" t="s">
        <v>1227</v>
      </c>
      <c r="Y263" s="7" t="s">
        <v>1105</v>
      </c>
      <c r="Z263" s="7" t="s">
        <v>1105</v>
      </c>
      <c r="AA263" s="9" t="str">
        <f t="shared" si="41"/>
        <v/>
      </c>
      <c r="AB263" s="13">
        <f t="shared" si="42"/>
        <v>2029737</v>
      </c>
      <c r="AC263" s="13">
        <f t="shared" si="43"/>
        <v>2029737</v>
      </c>
      <c r="AD263" s="13">
        <f t="shared" si="44"/>
        <v>0</v>
      </c>
    </row>
    <row r="264" spans="1:30" ht="51" x14ac:dyDescent="0.25">
      <c r="A264" s="7">
        <f t="shared" si="36"/>
        <v>242</v>
      </c>
      <c r="B264" s="7" t="s">
        <v>1228</v>
      </c>
      <c r="C264" s="7" t="s">
        <v>753</v>
      </c>
      <c r="D264" s="8" t="str">
        <f>INDEX('Summary by Assessment'!$C$5:$C$101,MATCH(C264,'Summary by Assessment'!$B$5:$B$101,0))</f>
        <v>Perth</v>
      </c>
      <c r="E264" s="9" t="s">
        <v>754</v>
      </c>
      <c r="F264" s="9" t="s">
        <v>232</v>
      </c>
      <c r="G264" s="9" t="s">
        <v>51</v>
      </c>
      <c r="H264" s="7" t="s">
        <v>549</v>
      </c>
      <c r="I264" s="7" t="s">
        <v>92</v>
      </c>
      <c r="J264" s="9" t="s">
        <v>1224</v>
      </c>
      <c r="K264" s="9" t="s">
        <v>1156</v>
      </c>
      <c r="L264" s="9" t="s">
        <v>1225</v>
      </c>
      <c r="M264" s="10">
        <v>2</v>
      </c>
      <c r="N264" s="10">
        <v>1</v>
      </c>
      <c r="O264" s="7">
        <f t="shared" si="37"/>
        <v>2</v>
      </c>
      <c r="P264" s="7" t="str">
        <f>INDEX('Scales &amp; Matrix'!$B$13:$F$17,6-N264,M264)</f>
        <v>Very Low</v>
      </c>
      <c r="Q264" s="9" t="s">
        <v>1226</v>
      </c>
      <c r="R264" s="10">
        <v>2</v>
      </c>
      <c r="S264" s="10">
        <v>1</v>
      </c>
      <c r="T264" s="7">
        <f t="shared" si="38"/>
        <v>2</v>
      </c>
      <c r="U264" s="7" t="str">
        <f>INDEX('Scales &amp; Matrix'!$B$13:$F$17,6-S264,R264)</f>
        <v>Very Low</v>
      </c>
      <c r="V264" s="11">
        <f t="shared" si="39"/>
        <v>0</v>
      </c>
      <c r="W264" s="12">
        <f t="shared" si="40"/>
        <v>0</v>
      </c>
      <c r="X264" s="9" t="s">
        <v>1227</v>
      </c>
      <c r="Y264" s="7" t="s">
        <v>1105</v>
      </c>
      <c r="Z264" s="7" t="s">
        <v>1105</v>
      </c>
      <c r="AA264" s="9" t="str">
        <f t="shared" si="41"/>
        <v/>
      </c>
      <c r="AB264" s="13">
        <f t="shared" si="42"/>
        <v>2029736</v>
      </c>
      <c r="AC264" s="13">
        <f t="shared" si="43"/>
        <v>2029736</v>
      </c>
      <c r="AD264" s="13">
        <f t="shared" si="44"/>
        <v>0</v>
      </c>
    </row>
    <row r="265" spans="1:30" ht="63.75" x14ac:dyDescent="0.25">
      <c r="A265" s="7">
        <f t="shared" si="36"/>
        <v>261</v>
      </c>
      <c r="B265" s="7" t="s">
        <v>1229</v>
      </c>
      <c r="C265" s="7" t="s">
        <v>268</v>
      </c>
      <c r="D265" s="8" t="str">
        <f>INDEX('Summary by Assessment'!$C$5:$C$101,MATCH(C265,'Summary by Assessment'!$B$5:$B$101,0))</f>
        <v>Fremantle</v>
      </c>
      <c r="E265" s="9" t="s">
        <v>269</v>
      </c>
      <c r="F265" s="9" t="s">
        <v>36</v>
      </c>
      <c r="G265" s="9" t="s">
        <v>51</v>
      </c>
      <c r="H265" s="7" t="s">
        <v>71</v>
      </c>
      <c r="I265" s="7" t="s">
        <v>53</v>
      </c>
      <c r="J265" s="9" t="s">
        <v>1230</v>
      </c>
      <c r="K265" s="9" t="s">
        <v>1231</v>
      </c>
      <c r="L265" s="9" t="s">
        <v>1232</v>
      </c>
      <c r="M265" s="10">
        <v>4</v>
      </c>
      <c r="N265" s="10">
        <v>3</v>
      </c>
      <c r="O265" s="7">
        <f t="shared" si="37"/>
        <v>12</v>
      </c>
      <c r="P265" s="7" t="str">
        <f>INDEX('Scales &amp; Matrix'!$B$13:$F$17,6-N265,M265)</f>
        <v>High</v>
      </c>
      <c r="Q265" s="9" t="s">
        <v>1233</v>
      </c>
      <c r="R265" s="10">
        <v>1</v>
      </c>
      <c r="S265" s="10">
        <v>1</v>
      </c>
      <c r="T265" s="7">
        <f t="shared" si="38"/>
        <v>1</v>
      </c>
      <c r="U265" s="7" t="str">
        <f>INDEX('Scales &amp; Matrix'!$B$13:$F$17,6-S265,R265)</f>
        <v>Very Low</v>
      </c>
      <c r="V265" s="11">
        <f t="shared" si="39"/>
        <v>11</v>
      </c>
      <c r="W265" s="12">
        <f t="shared" si="40"/>
        <v>0.91666666666666663</v>
      </c>
      <c r="X265" s="9" t="s">
        <v>67</v>
      </c>
      <c r="Y265" s="7" t="s">
        <v>46</v>
      </c>
      <c r="Z265" s="7" t="s">
        <v>1234</v>
      </c>
      <c r="AA265" s="9" t="str">
        <f t="shared" si="41"/>
        <v/>
      </c>
      <c r="AB265" s="13">
        <f t="shared" si="42"/>
        <v>1129735</v>
      </c>
      <c r="AC265" s="13">
        <f t="shared" si="43"/>
        <v>0</v>
      </c>
      <c r="AD265" s="13">
        <f t="shared" si="44"/>
        <v>1129735</v>
      </c>
    </row>
    <row r="266" spans="1:30" ht="63.75" x14ac:dyDescent="0.25">
      <c r="A266" s="7">
        <f t="shared" si="36"/>
        <v>261</v>
      </c>
      <c r="B266" s="7" t="s">
        <v>1235</v>
      </c>
      <c r="C266" s="7" t="s">
        <v>291</v>
      </c>
      <c r="D266" s="8" t="str">
        <f>INDEX('Summary by Assessment'!$C$5:$C$101,MATCH(C266,'Summary by Assessment'!$B$5:$B$101,0))</f>
        <v>Perth</v>
      </c>
      <c r="E266" s="9" t="s">
        <v>269</v>
      </c>
      <c r="F266" s="9" t="s">
        <v>36</v>
      </c>
      <c r="G266" s="9" t="s">
        <v>51</v>
      </c>
      <c r="H266" s="7" t="s">
        <v>52</v>
      </c>
      <c r="I266" s="7" t="s">
        <v>53</v>
      </c>
      <c r="J266" s="9" t="s">
        <v>1230</v>
      </c>
      <c r="K266" s="9" t="s">
        <v>1231</v>
      </c>
      <c r="L266" s="9" t="s">
        <v>1232</v>
      </c>
      <c r="M266" s="10">
        <v>4</v>
      </c>
      <c r="N266" s="10">
        <v>3</v>
      </c>
      <c r="O266" s="7">
        <f t="shared" si="37"/>
        <v>12</v>
      </c>
      <c r="P266" s="7" t="str">
        <f>INDEX('Scales &amp; Matrix'!$B$13:$F$17,6-N266,M266)</f>
        <v>High</v>
      </c>
      <c r="Q266" s="9" t="s">
        <v>1233</v>
      </c>
      <c r="R266" s="10">
        <v>1</v>
      </c>
      <c r="S266" s="10">
        <v>1</v>
      </c>
      <c r="T266" s="7">
        <f t="shared" si="38"/>
        <v>1</v>
      </c>
      <c r="U266" s="7" t="str">
        <f>INDEX('Scales &amp; Matrix'!$B$13:$F$17,6-S266,R266)</f>
        <v>Very Low</v>
      </c>
      <c r="V266" s="11">
        <f t="shared" si="39"/>
        <v>11</v>
      </c>
      <c r="W266" s="12">
        <f t="shared" si="40"/>
        <v>0.91666666666666663</v>
      </c>
      <c r="X266" s="9" t="s">
        <v>67</v>
      </c>
      <c r="Y266" s="7" t="s">
        <v>46</v>
      </c>
      <c r="Z266" s="7" t="s">
        <v>1234</v>
      </c>
      <c r="AA266" s="9" t="str">
        <f t="shared" si="41"/>
        <v/>
      </c>
      <c r="AB266" s="13">
        <f t="shared" si="42"/>
        <v>1129734</v>
      </c>
      <c r="AC266" s="13">
        <f t="shared" si="43"/>
        <v>1129734</v>
      </c>
      <c r="AD266" s="13">
        <f t="shared" si="44"/>
        <v>0</v>
      </c>
    </row>
    <row r="267" spans="1:30" ht="63.75" x14ac:dyDescent="0.25">
      <c r="A267" s="7">
        <f t="shared" si="36"/>
        <v>261</v>
      </c>
      <c r="B267" s="7" t="s">
        <v>1236</v>
      </c>
      <c r="C267" s="7" t="s">
        <v>957</v>
      </c>
      <c r="D267" s="8" t="str">
        <f>INDEX('Summary by Assessment'!$C$5:$C$101,MATCH(C267,'Summary by Assessment'!$B$5:$B$101,0))</f>
        <v>Fremantle</v>
      </c>
      <c r="E267" s="9" t="s">
        <v>958</v>
      </c>
      <c r="F267" s="9" t="s">
        <v>170</v>
      </c>
      <c r="G267" s="9" t="s">
        <v>51</v>
      </c>
      <c r="H267" s="7" t="s">
        <v>101</v>
      </c>
      <c r="I267" s="7" t="s">
        <v>92</v>
      </c>
      <c r="J267" s="9" t="s">
        <v>685</v>
      </c>
      <c r="K267" s="9" t="s">
        <v>1237</v>
      </c>
      <c r="L267" s="9" t="s">
        <v>687</v>
      </c>
      <c r="M267" s="10">
        <v>3</v>
      </c>
      <c r="N267" s="10">
        <v>3</v>
      </c>
      <c r="O267" s="7">
        <f t="shared" si="37"/>
        <v>9</v>
      </c>
      <c r="P267" s="7" t="str">
        <f>INDEX('Scales &amp; Matrix'!$B$13:$F$17,6-N267,M267)</f>
        <v>Moderate</v>
      </c>
      <c r="Q267" s="9" t="s">
        <v>1238</v>
      </c>
      <c r="R267" s="10">
        <v>1</v>
      </c>
      <c r="S267" s="10">
        <v>1</v>
      </c>
      <c r="T267" s="7">
        <f t="shared" si="38"/>
        <v>1</v>
      </c>
      <c r="U267" s="7" t="str">
        <f>INDEX('Scales &amp; Matrix'!$B$13:$F$17,6-S267,R267)</f>
        <v>Very Low</v>
      </c>
      <c r="V267" s="11">
        <f t="shared" si="39"/>
        <v>8</v>
      </c>
      <c r="W267" s="12">
        <f t="shared" si="40"/>
        <v>0.88888888888888884</v>
      </c>
      <c r="X267" s="9" t="s">
        <v>176</v>
      </c>
      <c r="Y267" s="7" t="s">
        <v>76</v>
      </c>
      <c r="Z267" s="7" t="s">
        <v>1234</v>
      </c>
      <c r="AA267" s="9" t="str">
        <f t="shared" si="41"/>
        <v/>
      </c>
      <c r="AB267" s="13">
        <f t="shared" si="42"/>
        <v>1099733</v>
      </c>
      <c r="AC267" s="13">
        <f t="shared" si="43"/>
        <v>0</v>
      </c>
      <c r="AD267" s="13">
        <f t="shared" si="44"/>
        <v>1099733</v>
      </c>
    </row>
    <row r="268" spans="1:30" ht="51" x14ac:dyDescent="0.25">
      <c r="A268" s="7">
        <f t="shared" si="36"/>
        <v>261</v>
      </c>
      <c r="B268" s="7" t="s">
        <v>1239</v>
      </c>
      <c r="C268" s="7" t="s">
        <v>639</v>
      </c>
      <c r="D268" s="8" t="str">
        <f>INDEX('Summary by Assessment'!$C$5:$C$101,MATCH(C268,'Summary by Assessment'!$B$5:$B$101,0))</f>
        <v>Fremantle</v>
      </c>
      <c r="E268" s="9" t="s">
        <v>640</v>
      </c>
      <c r="F268" s="9" t="s">
        <v>50</v>
      </c>
      <c r="G268" s="9" t="s">
        <v>51</v>
      </c>
      <c r="H268" s="7" t="s">
        <v>91</v>
      </c>
      <c r="I268" s="7" t="s">
        <v>92</v>
      </c>
      <c r="J268" s="9" t="s">
        <v>1240</v>
      </c>
      <c r="K268" s="9" t="s">
        <v>477</v>
      </c>
      <c r="L268" s="9" t="s">
        <v>1241</v>
      </c>
      <c r="M268" s="10">
        <v>3</v>
      </c>
      <c r="N268" s="10">
        <v>3</v>
      </c>
      <c r="O268" s="7">
        <f t="shared" si="37"/>
        <v>9</v>
      </c>
      <c r="P268" s="7" t="str">
        <f>INDEX('Scales &amp; Matrix'!$B$13:$F$17,6-N268,M268)</f>
        <v>Moderate</v>
      </c>
      <c r="Q268" s="9" t="s">
        <v>1242</v>
      </c>
      <c r="R268" s="10">
        <v>1</v>
      </c>
      <c r="S268" s="10">
        <v>1</v>
      </c>
      <c r="T268" s="7">
        <f t="shared" si="38"/>
        <v>1</v>
      </c>
      <c r="U268" s="7" t="str">
        <f>INDEX('Scales &amp; Matrix'!$B$13:$F$17,6-S268,R268)</f>
        <v>Very Low</v>
      </c>
      <c r="V268" s="11">
        <f t="shared" si="39"/>
        <v>8</v>
      </c>
      <c r="W268" s="12">
        <f t="shared" si="40"/>
        <v>0.88888888888888884</v>
      </c>
      <c r="X268" s="9" t="s">
        <v>883</v>
      </c>
      <c r="Y268" s="7" t="s">
        <v>76</v>
      </c>
      <c r="Z268" s="7" t="s">
        <v>1234</v>
      </c>
      <c r="AA268" s="9" t="str">
        <f t="shared" si="41"/>
        <v/>
      </c>
      <c r="AB268" s="13">
        <f t="shared" si="42"/>
        <v>1099732</v>
      </c>
      <c r="AC268" s="13">
        <f t="shared" si="43"/>
        <v>0</v>
      </c>
      <c r="AD268" s="13">
        <f t="shared" si="44"/>
        <v>1099732</v>
      </c>
    </row>
    <row r="269" spans="1:30" ht="38.25" x14ac:dyDescent="0.25">
      <c r="A269" s="7">
        <f t="shared" si="36"/>
        <v>261</v>
      </c>
      <c r="B269" s="7" t="s">
        <v>1243</v>
      </c>
      <c r="C269" s="7" t="s">
        <v>922</v>
      </c>
      <c r="D269" s="8" t="str">
        <f>INDEX('Summary by Assessment'!$C$5:$C$101,MATCH(C269,'Summary by Assessment'!$B$5:$B$101,0))</f>
        <v>Fremantle</v>
      </c>
      <c r="E269" s="9" t="s">
        <v>923</v>
      </c>
      <c r="F269" s="9" t="s">
        <v>36</v>
      </c>
      <c r="G269" s="9" t="s">
        <v>51</v>
      </c>
      <c r="H269" s="7" t="s">
        <v>924</v>
      </c>
      <c r="I269" s="7" t="s">
        <v>53</v>
      </c>
      <c r="J269" s="9" t="s">
        <v>1244</v>
      </c>
      <c r="K269" s="9" t="s">
        <v>453</v>
      </c>
      <c r="L269" s="9" t="s">
        <v>1245</v>
      </c>
      <c r="M269" s="10">
        <v>4</v>
      </c>
      <c r="N269" s="10">
        <v>2</v>
      </c>
      <c r="O269" s="7">
        <f t="shared" si="37"/>
        <v>8</v>
      </c>
      <c r="P269" s="7" t="str">
        <f>INDEX('Scales &amp; Matrix'!$B$13:$F$17,6-N269,M269)</f>
        <v>Moderate</v>
      </c>
      <c r="Q269" s="9" t="s">
        <v>1246</v>
      </c>
      <c r="R269" s="10">
        <v>1</v>
      </c>
      <c r="S269" s="10">
        <v>1</v>
      </c>
      <c r="T269" s="7">
        <f t="shared" si="38"/>
        <v>1</v>
      </c>
      <c r="U269" s="7" t="str">
        <f>INDEX('Scales &amp; Matrix'!$B$13:$F$17,6-S269,R269)</f>
        <v>Very Low</v>
      </c>
      <c r="V269" s="11">
        <f t="shared" si="39"/>
        <v>7</v>
      </c>
      <c r="W269" s="12">
        <f t="shared" si="40"/>
        <v>0.875</v>
      </c>
      <c r="X269" s="9" t="s">
        <v>1247</v>
      </c>
      <c r="Y269" s="7" t="s">
        <v>316</v>
      </c>
      <c r="Z269" s="7" t="s">
        <v>1234</v>
      </c>
      <c r="AA269" s="9" t="str">
        <f t="shared" si="41"/>
        <v/>
      </c>
      <c r="AB269" s="13">
        <f t="shared" si="42"/>
        <v>1089731</v>
      </c>
      <c r="AC269" s="13">
        <f t="shared" si="43"/>
        <v>0</v>
      </c>
      <c r="AD269" s="13">
        <f t="shared" si="44"/>
        <v>1089731</v>
      </c>
    </row>
    <row r="270" spans="1:30" ht="51" x14ac:dyDescent="0.25">
      <c r="A270" s="7">
        <f t="shared" si="36"/>
        <v>261</v>
      </c>
      <c r="B270" s="7" t="s">
        <v>1248</v>
      </c>
      <c r="C270" s="7" t="s">
        <v>639</v>
      </c>
      <c r="D270" s="8" t="str">
        <f>INDEX('Summary by Assessment'!$C$5:$C$101,MATCH(C270,'Summary by Assessment'!$B$5:$B$101,0))</f>
        <v>Fremantle</v>
      </c>
      <c r="E270" s="9" t="s">
        <v>640</v>
      </c>
      <c r="F270" s="9" t="s">
        <v>50</v>
      </c>
      <c r="G270" s="9" t="s">
        <v>51</v>
      </c>
      <c r="H270" s="7" t="s">
        <v>91</v>
      </c>
      <c r="I270" s="7" t="s">
        <v>53</v>
      </c>
      <c r="J270" s="9" t="s">
        <v>1249</v>
      </c>
      <c r="K270" s="9" t="s">
        <v>173</v>
      </c>
      <c r="L270" s="9" t="s">
        <v>1250</v>
      </c>
      <c r="M270" s="10">
        <v>4</v>
      </c>
      <c r="N270" s="10">
        <v>2</v>
      </c>
      <c r="O270" s="7">
        <f t="shared" si="37"/>
        <v>8</v>
      </c>
      <c r="P270" s="7" t="str">
        <f>INDEX('Scales &amp; Matrix'!$B$13:$F$17,6-N270,M270)</f>
        <v>Moderate</v>
      </c>
      <c r="Q270" s="9" t="s">
        <v>1251</v>
      </c>
      <c r="R270" s="10">
        <v>1</v>
      </c>
      <c r="S270" s="10">
        <v>1</v>
      </c>
      <c r="T270" s="7">
        <f t="shared" si="38"/>
        <v>1</v>
      </c>
      <c r="U270" s="7" t="str">
        <f>INDEX('Scales &amp; Matrix'!$B$13:$F$17,6-S270,R270)</f>
        <v>Very Low</v>
      </c>
      <c r="V270" s="11">
        <f t="shared" si="39"/>
        <v>7</v>
      </c>
      <c r="W270" s="12">
        <f t="shared" si="40"/>
        <v>0.875</v>
      </c>
      <c r="X270" s="9" t="s">
        <v>1104</v>
      </c>
      <c r="Y270" s="7" t="s">
        <v>316</v>
      </c>
      <c r="Z270" s="7" t="s">
        <v>1234</v>
      </c>
      <c r="AA270" s="9" t="str">
        <f t="shared" si="41"/>
        <v/>
      </c>
      <c r="AB270" s="13">
        <f t="shared" si="42"/>
        <v>1089730</v>
      </c>
      <c r="AC270" s="13">
        <f t="shared" si="43"/>
        <v>0</v>
      </c>
      <c r="AD270" s="13">
        <f t="shared" si="44"/>
        <v>1089730</v>
      </c>
    </row>
    <row r="271" spans="1:30" ht="89.25" x14ac:dyDescent="0.25">
      <c r="A271" s="7">
        <f t="shared" si="36"/>
        <v>261</v>
      </c>
      <c r="B271" s="7" t="s">
        <v>1252</v>
      </c>
      <c r="C271" s="7" t="s">
        <v>767</v>
      </c>
      <c r="D271" s="8" t="str">
        <f>INDEX('Summary by Assessment'!$C$5:$C$101,MATCH(C271,'Summary by Assessment'!$B$5:$B$101,0))</f>
        <v>Perth</v>
      </c>
      <c r="E271" s="9" t="s">
        <v>768</v>
      </c>
      <c r="F271" s="9" t="s">
        <v>232</v>
      </c>
      <c r="G271" s="9" t="s">
        <v>51</v>
      </c>
      <c r="H271" s="7" t="s">
        <v>769</v>
      </c>
      <c r="I271" s="7" t="s">
        <v>218</v>
      </c>
      <c r="J271" s="9" t="s">
        <v>1253</v>
      </c>
      <c r="K271" s="9" t="s">
        <v>1138</v>
      </c>
      <c r="L271" s="9" t="s">
        <v>1254</v>
      </c>
      <c r="M271" s="10">
        <v>2</v>
      </c>
      <c r="N271" s="10">
        <v>3</v>
      </c>
      <c r="O271" s="7">
        <f t="shared" si="37"/>
        <v>6</v>
      </c>
      <c r="P271" s="7" t="str">
        <f>INDEX('Scales &amp; Matrix'!$B$13:$F$17,6-N271,M271)</f>
        <v>Moderate</v>
      </c>
      <c r="Q271" s="9" t="s">
        <v>1255</v>
      </c>
      <c r="R271" s="10">
        <v>1</v>
      </c>
      <c r="S271" s="10">
        <v>1</v>
      </c>
      <c r="T271" s="7">
        <f t="shared" si="38"/>
        <v>1</v>
      </c>
      <c r="U271" s="7" t="str">
        <f>INDEX('Scales &amp; Matrix'!$B$13:$F$17,6-S271,R271)</f>
        <v>Very Low</v>
      </c>
      <c r="V271" s="11">
        <f t="shared" si="39"/>
        <v>5</v>
      </c>
      <c r="W271" s="12">
        <f t="shared" si="40"/>
        <v>0.83333333333333337</v>
      </c>
      <c r="X271" s="9" t="s">
        <v>883</v>
      </c>
      <c r="Y271" s="7" t="s">
        <v>311</v>
      </c>
      <c r="Z271" s="7" t="s">
        <v>1234</v>
      </c>
      <c r="AA271" s="9" t="str">
        <f t="shared" si="41"/>
        <v/>
      </c>
      <c r="AB271" s="13">
        <f t="shared" si="42"/>
        <v>1069729</v>
      </c>
      <c r="AC271" s="13">
        <f t="shared" si="43"/>
        <v>1069729</v>
      </c>
      <c r="AD271" s="13">
        <f t="shared" si="44"/>
        <v>0</v>
      </c>
    </row>
    <row r="272" spans="1:30" ht="38.25" x14ac:dyDescent="0.25">
      <c r="A272" s="7">
        <f t="shared" si="36"/>
        <v>261</v>
      </c>
      <c r="B272" s="7" t="s">
        <v>1256</v>
      </c>
      <c r="C272" s="7" t="s">
        <v>153</v>
      </c>
      <c r="D272" s="8" t="str">
        <f>INDEX('Summary by Assessment'!$C$5:$C$101,MATCH(C272,'Summary by Assessment'!$B$5:$B$101,0))</f>
        <v>Fremantle</v>
      </c>
      <c r="E272" s="9" t="s">
        <v>154</v>
      </c>
      <c r="F272" s="9" t="s">
        <v>155</v>
      </c>
      <c r="G272" s="9" t="s">
        <v>51</v>
      </c>
      <c r="H272" s="7" t="s">
        <v>91</v>
      </c>
      <c r="I272" s="7" t="s">
        <v>53</v>
      </c>
      <c r="J272" s="9" t="s">
        <v>1257</v>
      </c>
      <c r="K272" s="9" t="s">
        <v>41</v>
      </c>
      <c r="L272" s="9" t="s">
        <v>1258</v>
      </c>
      <c r="M272" s="10">
        <v>5</v>
      </c>
      <c r="N272" s="10">
        <v>1</v>
      </c>
      <c r="O272" s="7">
        <f t="shared" si="37"/>
        <v>5</v>
      </c>
      <c r="P272" s="7" t="str">
        <f>INDEX('Scales &amp; Matrix'!$B$13:$F$17,6-N272,M272)</f>
        <v>Moderate</v>
      </c>
      <c r="Q272" s="9" t="s">
        <v>1259</v>
      </c>
      <c r="R272" s="10">
        <v>1</v>
      </c>
      <c r="S272" s="10">
        <v>1</v>
      </c>
      <c r="T272" s="7">
        <f t="shared" si="38"/>
        <v>1</v>
      </c>
      <c r="U272" s="7" t="str">
        <f>INDEX('Scales &amp; Matrix'!$B$13:$F$17,6-S272,R272)</f>
        <v>Very Low</v>
      </c>
      <c r="V272" s="11">
        <f t="shared" si="39"/>
        <v>4</v>
      </c>
      <c r="W272" s="12">
        <f t="shared" si="40"/>
        <v>0.8</v>
      </c>
      <c r="X272" s="9" t="s">
        <v>44</v>
      </c>
      <c r="Y272" s="7" t="s">
        <v>765</v>
      </c>
      <c r="Z272" s="7" t="s">
        <v>1234</v>
      </c>
      <c r="AA272" s="9" t="str">
        <f t="shared" si="41"/>
        <v/>
      </c>
      <c r="AB272" s="13">
        <f t="shared" si="42"/>
        <v>1059728</v>
      </c>
      <c r="AC272" s="13">
        <f t="shared" si="43"/>
        <v>0</v>
      </c>
      <c r="AD272" s="13">
        <f t="shared" si="44"/>
        <v>1059728</v>
      </c>
    </row>
    <row r="273" spans="1:30" ht="38.25" x14ac:dyDescent="0.25">
      <c r="A273" s="7">
        <f t="shared" si="36"/>
        <v>261</v>
      </c>
      <c r="B273" s="7" t="s">
        <v>1260</v>
      </c>
      <c r="C273" s="7" t="s">
        <v>178</v>
      </c>
      <c r="D273" s="8" t="str">
        <f>INDEX('Summary by Assessment'!$C$5:$C$101,MATCH(C273,'Summary by Assessment'!$B$5:$B$101,0))</f>
        <v>Perth</v>
      </c>
      <c r="E273" s="9" t="s">
        <v>179</v>
      </c>
      <c r="F273" s="9" t="s">
        <v>155</v>
      </c>
      <c r="G273" s="9" t="s">
        <v>180</v>
      </c>
      <c r="H273" s="7" t="s">
        <v>181</v>
      </c>
      <c r="I273" s="7" t="s">
        <v>53</v>
      </c>
      <c r="J273" s="9" t="s">
        <v>1257</v>
      </c>
      <c r="K273" s="9" t="s">
        <v>41</v>
      </c>
      <c r="L273" s="9" t="s">
        <v>1258</v>
      </c>
      <c r="M273" s="10">
        <v>5</v>
      </c>
      <c r="N273" s="10">
        <v>1</v>
      </c>
      <c r="O273" s="7">
        <f t="shared" si="37"/>
        <v>5</v>
      </c>
      <c r="P273" s="7" t="str">
        <f>INDEX('Scales &amp; Matrix'!$B$13:$F$17,6-N273,M273)</f>
        <v>Moderate</v>
      </c>
      <c r="Q273" s="9" t="s">
        <v>1259</v>
      </c>
      <c r="R273" s="10">
        <v>1</v>
      </c>
      <c r="S273" s="10">
        <v>1</v>
      </c>
      <c r="T273" s="7">
        <f t="shared" si="38"/>
        <v>1</v>
      </c>
      <c r="U273" s="7" t="str">
        <f>INDEX('Scales &amp; Matrix'!$B$13:$F$17,6-S273,R273)</f>
        <v>Very Low</v>
      </c>
      <c r="V273" s="11">
        <f t="shared" si="39"/>
        <v>4</v>
      </c>
      <c r="W273" s="12">
        <f t="shared" si="40"/>
        <v>0.8</v>
      </c>
      <c r="X273" s="9" t="s">
        <v>44</v>
      </c>
      <c r="Y273" s="7" t="s">
        <v>765</v>
      </c>
      <c r="Z273" s="7" t="s">
        <v>1234</v>
      </c>
      <c r="AA273" s="9" t="str">
        <f t="shared" si="41"/>
        <v/>
      </c>
      <c r="AB273" s="13">
        <f t="shared" si="42"/>
        <v>1059727</v>
      </c>
      <c r="AC273" s="13">
        <f t="shared" si="43"/>
        <v>1059727</v>
      </c>
      <c r="AD273" s="13">
        <f t="shared" si="44"/>
        <v>0</v>
      </c>
    </row>
    <row r="274" spans="1:30" ht="63.75" x14ac:dyDescent="0.25">
      <c r="A274" s="7">
        <f t="shared" si="36"/>
        <v>261</v>
      </c>
      <c r="B274" s="7" t="s">
        <v>1261</v>
      </c>
      <c r="C274" s="7" t="s">
        <v>964</v>
      </c>
      <c r="D274" s="8" t="str">
        <f>INDEX('Summary by Assessment'!$C$5:$C$101,MATCH(C274,'Summary by Assessment'!$B$5:$B$101,0))</f>
        <v>Fremantle</v>
      </c>
      <c r="E274" s="9" t="s">
        <v>965</v>
      </c>
      <c r="F274" s="9" t="s">
        <v>966</v>
      </c>
      <c r="G274" s="9" t="s">
        <v>51</v>
      </c>
      <c r="H274" s="7" t="s">
        <v>91</v>
      </c>
      <c r="I274" s="7" t="s">
        <v>53</v>
      </c>
      <c r="J274" s="9" t="s">
        <v>1262</v>
      </c>
      <c r="K274" s="9" t="s">
        <v>196</v>
      </c>
      <c r="L274" s="9" t="s">
        <v>1263</v>
      </c>
      <c r="M274" s="10">
        <v>2</v>
      </c>
      <c r="N274" s="10">
        <v>2</v>
      </c>
      <c r="O274" s="7">
        <f t="shared" si="37"/>
        <v>4</v>
      </c>
      <c r="P274" s="7" t="str">
        <f>INDEX('Scales &amp; Matrix'!$B$13:$F$17,6-N274,M274)</f>
        <v>Low</v>
      </c>
      <c r="Q274" s="9" t="s">
        <v>1264</v>
      </c>
      <c r="R274" s="10">
        <v>1</v>
      </c>
      <c r="S274" s="10">
        <v>1</v>
      </c>
      <c r="T274" s="7">
        <f t="shared" si="38"/>
        <v>1</v>
      </c>
      <c r="U274" s="7" t="str">
        <f>INDEX('Scales &amp; Matrix'!$B$13:$F$17,6-S274,R274)</f>
        <v>Very Low</v>
      </c>
      <c r="V274" s="11">
        <f t="shared" si="39"/>
        <v>3</v>
      </c>
      <c r="W274" s="12">
        <f t="shared" si="40"/>
        <v>0.75</v>
      </c>
      <c r="X274" s="9" t="s">
        <v>1265</v>
      </c>
      <c r="Y274" s="7" t="s">
        <v>742</v>
      </c>
      <c r="Z274" s="7" t="s">
        <v>1234</v>
      </c>
      <c r="AA274" s="9" t="str">
        <f t="shared" si="41"/>
        <v/>
      </c>
      <c r="AB274" s="13">
        <f t="shared" si="42"/>
        <v>1049726</v>
      </c>
      <c r="AC274" s="13">
        <f t="shared" si="43"/>
        <v>0</v>
      </c>
      <c r="AD274" s="13">
        <f t="shared" si="44"/>
        <v>1049726</v>
      </c>
    </row>
    <row r="275" spans="1:30" ht="63.75" x14ac:dyDescent="0.25">
      <c r="A275" s="7">
        <f t="shared" si="36"/>
        <v>261</v>
      </c>
      <c r="B275" s="7" t="s">
        <v>1266</v>
      </c>
      <c r="C275" s="7" t="s">
        <v>986</v>
      </c>
      <c r="D275" s="8" t="str">
        <f>INDEX('Summary by Assessment'!$C$5:$C$101,MATCH(C275,'Summary by Assessment'!$B$5:$B$101,0))</f>
        <v>Perth</v>
      </c>
      <c r="E275" s="9" t="s">
        <v>965</v>
      </c>
      <c r="F275" s="9" t="s">
        <v>966</v>
      </c>
      <c r="G275" s="9" t="s">
        <v>51</v>
      </c>
      <c r="H275" s="7" t="s">
        <v>52</v>
      </c>
      <c r="I275" s="7" t="s">
        <v>53</v>
      </c>
      <c r="J275" s="9" t="s">
        <v>1262</v>
      </c>
      <c r="K275" s="9" t="s">
        <v>196</v>
      </c>
      <c r="L275" s="9" t="s">
        <v>1263</v>
      </c>
      <c r="M275" s="10">
        <v>2</v>
      </c>
      <c r="N275" s="10">
        <v>2</v>
      </c>
      <c r="O275" s="7">
        <f t="shared" si="37"/>
        <v>4</v>
      </c>
      <c r="P275" s="7" t="str">
        <f>INDEX('Scales &amp; Matrix'!$B$13:$F$17,6-N275,M275)</f>
        <v>Low</v>
      </c>
      <c r="Q275" s="9" t="s">
        <v>1264</v>
      </c>
      <c r="R275" s="10">
        <v>1</v>
      </c>
      <c r="S275" s="10">
        <v>1</v>
      </c>
      <c r="T275" s="7">
        <f t="shared" si="38"/>
        <v>1</v>
      </c>
      <c r="U275" s="7" t="str">
        <f>INDEX('Scales &amp; Matrix'!$B$13:$F$17,6-S275,R275)</f>
        <v>Very Low</v>
      </c>
      <c r="V275" s="11">
        <f t="shared" si="39"/>
        <v>3</v>
      </c>
      <c r="W275" s="12">
        <f t="shared" si="40"/>
        <v>0.75</v>
      </c>
      <c r="X275" s="9" t="s">
        <v>1265</v>
      </c>
      <c r="Y275" s="7" t="s">
        <v>742</v>
      </c>
      <c r="Z275" s="7" t="s">
        <v>1234</v>
      </c>
      <c r="AA275" s="9" t="str">
        <f t="shared" si="41"/>
        <v/>
      </c>
      <c r="AB275" s="13">
        <f t="shared" si="42"/>
        <v>1049725</v>
      </c>
      <c r="AC275" s="13">
        <f t="shared" si="43"/>
        <v>1049725</v>
      </c>
      <c r="AD275" s="13">
        <f t="shared" si="44"/>
        <v>0</v>
      </c>
    </row>
    <row r="276" spans="1:30" ht="38.25" x14ac:dyDescent="0.25">
      <c r="A276" s="7">
        <f t="shared" si="36"/>
        <v>261</v>
      </c>
      <c r="B276" s="7" t="s">
        <v>1267</v>
      </c>
      <c r="C276" s="7" t="s">
        <v>153</v>
      </c>
      <c r="D276" s="8" t="str">
        <f>INDEX('Summary by Assessment'!$C$5:$C$101,MATCH(C276,'Summary by Assessment'!$B$5:$B$101,0))</f>
        <v>Fremantle</v>
      </c>
      <c r="E276" s="9" t="s">
        <v>154</v>
      </c>
      <c r="F276" s="9" t="s">
        <v>155</v>
      </c>
      <c r="G276" s="9" t="s">
        <v>51</v>
      </c>
      <c r="H276" s="7" t="s">
        <v>91</v>
      </c>
      <c r="I276" s="7" t="s">
        <v>92</v>
      </c>
      <c r="J276" s="9" t="s">
        <v>1268</v>
      </c>
      <c r="K276" s="9" t="s">
        <v>41</v>
      </c>
      <c r="L276" s="9" t="s">
        <v>1269</v>
      </c>
      <c r="M276" s="10">
        <v>1</v>
      </c>
      <c r="N276" s="10">
        <v>1</v>
      </c>
      <c r="O276" s="7">
        <f t="shared" si="37"/>
        <v>1</v>
      </c>
      <c r="P276" s="7" t="str">
        <f>INDEX('Scales &amp; Matrix'!$B$13:$F$17,6-N276,M276)</f>
        <v>Very Low</v>
      </c>
      <c r="Q276" s="9" t="s">
        <v>1270</v>
      </c>
      <c r="R276" s="10">
        <v>1</v>
      </c>
      <c r="S276" s="10">
        <v>1</v>
      </c>
      <c r="T276" s="7">
        <f t="shared" si="38"/>
        <v>1</v>
      </c>
      <c r="U276" s="7" t="str">
        <f>INDEX('Scales &amp; Matrix'!$B$13:$F$17,6-S276,R276)</f>
        <v>Very Low</v>
      </c>
      <c r="V276" s="11">
        <f t="shared" si="39"/>
        <v>0</v>
      </c>
      <c r="W276" s="12">
        <f t="shared" si="40"/>
        <v>0</v>
      </c>
      <c r="X276" s="9" t="s">
        <v>44</v>
      </c>
      <c r="Y276" s="7" t="s">
        <v>1234</v>
      </c>
      <c r="Z276" s="7" t="s">
        <v>1234</v>
      </c>
      <c r="AA276" s="9" t="str">
        <f t="shared" si="41"/>
        <v/>
      </c>
      <c r="AB276" s="13">
        <f t="shared" si="42"/>
        <v>1019724</v>
      </c>
      <c r="AC276" s="13">
        <f t="shared" si="43"/>
        <v>0</v>
      </c>
      <c r="AD276" s="13">
        <f t="shared" si="44"/>
        <v>1019724</v>
      </c>
    </row>
    <row r="277" spans="1:30" ht="38.25" x14ac:dyDescent="0.25">
      <c r="A277" s="7">
        <f t="shared" si="36"/>
        <v>261</v>
      </c>
      <c r="B277" s="7" t="s">
        <v>1271</v>
      </c>
      <c r="C277" s="7" t="s">
        <v>561</v>
      </c>
      <c r="D277" s="8" t="str">
        <f>INDEX('Summary by Assessment'!$C$5:$C$101,MATCH(C277,'Summary by Assessment'!$B$5:$B$101,0))</f>
        <v>Fremantle</v>
      </c>
      <c r="E277" s="9" t="s">
        <v>562</v>
      </c>
      <c r="F277" s="9" t="s">
        <v>155</v>
      </c>
      <c r="G277" s="9" t="s">
        <v>51</v>
      </c>
      <c r="H277" s="7" t="s">
        <v>563</v>
      </c>
      <c r="I277" s="7" t="s">
        <v>92</v>
      </c>
      <c r="J277" s="9" t="s">
        <v>1272</v>
      </c>
      <c r="K277" s="9" t="s">
        <v>307</v>
      </c>
      <c r="L277" s="9" t="s">
        <v>1272</v>
      </c>
      <c r="M277" s="10">
        <v>1</v>
      </c>
      <c r="N277" s="10">
        <v>1</v>
      </c>
      <c r="O277" s="7">
        <f t="shared" si="37"/>
        <v>1</v>
      </c>
      <c r="P277" s="7" t="str">
        <f>INDEX('Scales &amp; Matrix'!$B$13:$F$17,6-N277,M277)</f>
        <v>Very Low</v>
      </c>
      <c r="Q277" s="9" t="s">
        <v>1272</v>
      </c>
      <c r="R277" s="10">
        <v>1</v>
      </c>
      <c r="S277" s="10">
        <v>1</v>
      </c>
      <c r="T277" s="7">
        <f t="shared" si="38"/>
        <v>1</v>
      </c>
      <c r="U277" s="7" t="str">
        <f>INDEX('Scales &amp; Matrix'!$B$13:$F$17,6-S277,R277)</f>
        <v>Very Low</v>
      </c>
      <c r="V277" s="11">
        <f t="shared" si="39"/>
        <v>0</v>
      </c>
      <c r="W277" s="12">
        <f t="shared" si="40"/>
        <v>0</v>
      </c>
      <c r="X277" s="9" t="s">
        <v>1272</v>
      </c>
      <c r="Y277" s="7" t="s">
        <v>1234</v>
      </c>
      <c r="Z277" s="7" t="s">
        <v>1234</v>
      </c>
      <c r="AA277" s="9" t="str">
        <f t="shared" si="41"/>
        <v>Placeholder - no hazard entered on form.</v>
      </c>
      <c r="AB277" s="13">
        <f t="shared" si="42"/>
        <v>1019723</v>
      </c>
      <c r="AC277" s="13">
        <f t="shared" si="43"/>
        <v>0</v>
      </c>
      <c r="AD277" s="13">
        <f t="shared" si="44"/>
        <v>1019723</v>
      </c>
    </row>
    <row r="278" spans="1:30" ht="38.25" x14ac:dyDescent="0.25">
      <c r="A278" s="7">
        <f t="shared" si="36"/>
        <v>261</v>
      </c>
      <c r="B278" s="7" t="s">
        <v>1273</v>
      </c>
      <c r="C278" s="7" t="s">
        <v>168</v>
      </c>
      <c r="D278" s="8" t="str">
        <f>INDEX('Summary by Assessment'!$C$5:$C$101,MATCH(C278,'Summary by Assessment'!$B$5:$B$101,0))</f>
        <v>Fremantle</v>
      </c>
      <c r="E278" s="9" t="s">
        <v>169</v>
      </c>
      <c r="F278" s="9" t="s">
        <v>170</v>
      </c>
      <c r="G278" s="9" t="s">
        <v>51</v>
      </c>
      <c r="H278" s="7" t="s">
        <v>171</v>
      </c>
      <c r="I278" s="7" t="s">
        <v>92</v>
      </c>
      <c r="J278" s="9" t="s">
        <v>1274</v>
      </c>
      <c r="K278" s="9" t="s">
        <v>307</v>
      </c>
      <c r="L278" s="9" t="s">
        <v>1275</v>
      </c>
      <c r="M278" s="10">
        <v>1</v>
      </c>
      <c r="N278" s="10">
        <v>1</v>
      </c>
      <c r="O278" s="7">
        <f t="shared" si="37"/>
        <v>1</v>
      </c>
      <c r="P278" s="7" t="str">
        <f>INDEX('Scales &amp; Matrix'!$B$13:$F$17,6-N278,M278)</f>
        <v>Very Low</v>
      </c>
      <c r="Q278" s="9" t="s">
        <v>1275</v>
      </c>
      <c r="R278" s="10">
        <v>1</v>
      </c>
      <c r="S278" s="10">
        <v>1</v>
      </c>
      <c r="T278" s="7">
        <f t="shared" si="38"/>
        <v>1</v>
      </c>
      <c r="U278" s="7" t="str">
        <f>INDEX('Scales &amp; Matrix'!$B$13:$F$17,6-S278,R278)</f>
        <v>Very Low</v>
      </c>
      <c r="V278" s="11">
        <f t="shared" si="39"/>
        <v>0</v>
      </c>
      <c r="W278" s="12">
        <f t="shared" si="40"/>
        <v>0</v>
      </c>
      <c r="X278" s="9" t="s">
        <v>1275</v>
      </c>
      <c r="Y278" s="7" t="s">
        <v>1234</v>
      </c>
      <c r="Z278" s="7" t="s">
        <v>1234</v>
      </c>
      <c r="AA278" s="9" t="str">
        <f t="shared" si="41"/>
        <v>Placeholder - no hazard entered on form.</v>
      </c>
      <c r="AB278" s="13">
        <f t="shared" si="42"/>
        <v>1019722</v>
      </c>
      <c r="AC278" s="13">
        <f t="shared" si="43"/>
        <v>0</v>
      </c>
      <c r="AD278" s="13">
        <f t="shared" si="44"/>
        <v>1019722</v>
      </c>
    </row>
    <row r="279" spans="1:30" ht="38.25" x14ac:dyDescent="0.25">
      <c r="A279" s="7">
        <f t="shared" si="36"/>
        <v>261</v>
      </c>
      <c r="B279" s="7" t="s">
        <v>1276</v>
      </c>
      <c r="C279" s="7" t="s">
        <v>781</v>
      </c>
      <c r="D279" s="8" t="str">
        <f>INDEX('Summary by Assessment'!$C$5:$C$101,MATCH(C279,'Summary by Assessment'!$B$5:$B$101,0))</f>
        <v>Perth</v>
      </c>
      <c r="E279" s="9" t="s">
        <v>782</v>
      </c>
      <c r="F279" s="9" t="s">
        <v>232</v>
      </c>
      <c r="G279" s="9" t="s">
        <v>51</v>
      </c>
      <c r="H279" s="7" t="s">
        <v>783</v>
      </c>
      <c r="I279" s="7" t="s">
        <v>92</v>
      </c>
      <c r="J279" s="9" t="s">
        <v>1272</v>
      </c>
      <c r="K279" s="9" t="s">
        <v>307</v>
      </c>
      <c r="L279" s="9" t="s">
        <v>1272</v>
      </c>
      <c r="M279" s="10">
        <v>1</v>
      </c>
      <c r="N279" s="10">
        <v>1</v>
      </c>
      <c r="O279" s="7">
        <f t="shared" si="37"/>
        <v>1</v>
      </c>
      <c r="P279" s="7" t="str">
        <f>INDEX('Scales &amp; Matrix'!$B$13:$F$17,6-N279,M279)</f>
        <v>Very Low</v>
      </c>
      <c r="Q279" s="9" t="s">
        <v>1272</v>
      </c>
      <c r="R279" s="10">
        <v>1</v>
      </c>
      <c r="S279" s="10">
        <v>1</v>
      </c>
      <c r="T279" s="7">
        <f t="shared" si="38"/>
        <v>1</v>
      </c>
      <c r="U279" s="7" t="str">
        <f>INDEX('Scales &amp; Matrix'!$B$13:$F$17,6-S279,R279)</f>
        <v>Very Low</v>
      </c>
      <c r="V279" s="11">
        <f t="shared" si="39"/>
        <v>0</v>
      </c>
      <c r="W279" s="12">
        <f t="shared" si="40"/>
        <v>0</v>
      </c>
      <c r="X279" s="9" t="s">
        <v>1272</v>
      </c>
      <c r="Y279" s="7" t="s">
        <v>1234</v>
      </c>
      <c r="Z279" s="7" t="s">
        <v>1234</v>
      </c>
      <c r="AA279" s="9" t="str">
        <f t="shared" si="41"/>
        <v>Placeholder - no hazard entered on form.</v>
      </c>
      <c r="AB279" s="13">
        <f t="shared" si="42"/>
        <v>1019721</v>
      </c>
      <c r="AC279" s="13">
        <f t="shared" si="43"/>
        <v>1019721</v>
      </c>
      <c r="AD279" s="13">
        <f t="shared" si="44"/>
        <v>0</v>
      </c>
    </row>
    <row r="280" spans="1:30" ht="38.25" x14ac:dyDescent="0.25">
      <c r="A280" s="7">
        <f t="shared" si="36"/>
        <v>261</v>
      </c>
      <c r="B280" s="7" t="s">
        <v>1277</v>
      </c>
      <c r="C280" s="7" t="s">
        <v>178</v>
      </c>
      <c r="D280" s="8" t="str">
        <f>INDEX('Summary by Assessment'!$C$5:$C$101,MATCH(C280,'Summary by Assessment'!$B$5:$B$101,0))</f>
        <v>Perth</v>
      </c>
      <c r="E280" s="9" t="s">
        <v>179</v>
      </c>
      <c r="F280" s="9" t="s">
        <v>155</v>
      </c>
      <c r="G280" s="9" t="s">
        <v>180</v>
      </c>
      <c r="H280" s="7" t="s">
        <v>181</v>
      </c>
      <c r="I280" s="7" t="s">
        <v>92</v>
      </c>
      <c r="J280" s="9" t="s">
        <v>1268</v>
      </c>
      <c r="K280" s="9" t="s">
        <v>41</v>
      </c>
      <c r="L280" s="9" t="s">
        <v>1269</v>
      </c>
      <c r="M280" s="10">
        <v>1</v>
      </c>
      <c r="N280" s="10">
        <v>1</v>
      </c>
      <c r="O280" s="7">
        <f t="shared" si="37"/>
        <v>1</v>
      </c>
      <c r="P280" s="7" t="str">
        <f>INDEX('Scales &amp; Matrix'!$B$13:$F$17,6-N280,M280)</f>
        <v>Very Low</v>
      </c>
      <c r="Q280" s="9" t="s">
        <v>1270</v>
      </c>
      <c r="R280" s="10">
        <v>1</v>
      </c>
      <c r="S280" s="10">
        <v>1</v>
      </c>
      <c r="T280" s="7">
        <f t="shared" si="38"/>
        <v>1</v>
      </c>
      <c r="U280" s="7" t="str">
        <f>INDEX('Scales &amp; Matrix'!$B$13:$F$17,6-S280,R280)</f>
        <v>Very Low</v>
      </c>
      <c r="V280" s="11">
        <f t="shared" si="39"/>
        <v>0</v>
      </c>
      <c r="W280" s="12">
        <f t="shared" si="40"/>
        <v>0</v>
      </c>
      <c r="X280" s="9" t="s">
        <v>44</v>
      </c>
      <c r="Y280" s="7" t="s">
        <v>1234</v>
      </c>
      <c r="Z280" s="7" t="s">
        <v>1234</v>
      </c>
      <c r="AA280" s="9" t="str">
        <f t="shared" si="41"/>
        <v/>
      </c>
      <c r="AB280" s="13">
        <f t="shared" si="42"/>
        <v>1019720</v>
      </c>
      <c r="AC280" s="13">
        <f t="shared" si="43"/>
        <v>1019720</v>
      </c>
      <c r="AD280" s="13">
        <f t="shared" si="44"/>
        <v>0</v>
      </c>
    </row>
    <row r="281" spans="1:30" ht="38.25" x14ac:dyDescent="0.25">
      <c r="A281" s="7">
        <f t="shared" si="36"/>
        <v>261</v>
      </c>
      <c r="B281" s="7" t="s">
        <v>1278</v>
      </c>
      <c r="C281" s="7" t="s">
        <v>1007</v>
      </c>
      <c r="D281" s="8" t="str">
        <f>INDEX('Summary by Assessment'!$C$5:$C$101,MATCH(C281,'Summary by Assessment'!$B$5:$B$101,0))</f>
        <v>Perth</v>
      </c>
      <c r="E281" s="9" t="s">
        <v>1008</v>
      </c>
      <c r="F281" s="9" t="s">
        <v>36</v>
      </c>
      <c r="G281" s="9" t="s">
        <v>51</v>
      </c>
      <c r="H281" s="7" t="s">
        <v>1009</v>
      </c>
      <c r="I281" s="7" t="s">
        <v>92</v>
      </c>
      <c r="J281" s="9" t="s">
        <v>1279</v>
      </c>
      <c r="K281" s="9" t="s">
        <v>551</v>
      </c>
      <c r="L281" s="9" t="s">
        <v>1279</v>
      </c>
      <c r="M281" s="10">
        <v>1</v>
      </c>
      <c r="N281" s="10">
        <v>1</v>
      </c>
      <c r="O281" s="7">
        <f t="shared" si="37"/>
        <v>1</v>
      </c>
      <c r="P281" s="7" t="str">
        <f>INDEX('Scales &amp; Matrix'!$B$13:$F$17,6-N281,M281)</f>
        <v>Very Low</v>
      </c>
      <c r="Q281" s="9" t="s">
        <v>1279</v>
      </c>
      <c r="R281" s="10">
        <v>1</v>
      </c>
      <c r="S281" s="10">
        <v>1</v>
      </c>
      <c r="T281" s="7">
        <f t="shared" si="38"/>
        <v>1</v>
      </c>
      <c r="U281" s="7" t="str">
        <f>INDEX('Scales &amp; Matrix'!$B$13:$F$17,6-S281,R281)</f>
        <v>Very Low</v>
      </c>
      <c r="V281" s="11">
        <f t="shared" si="39"/>
        <v>0</v>
      </c>
      <c r="W281" s="12">
        <f t="shared" si="40"/>
        <v>0</v>
      </c>
      <c r="X281" s="9" t="s">
        <v>97</v>
      </c>
      <c r="Y281" s="7" t="s">
        <v>1234</v>
      </c>
      <c r="Z281" s="7" t="s">
        <v>1234</v>
      </c>
      <c r="AA281" s="9" t="str">
        <f t="shared" si="41"/>
        <v>Placeholder - no hazard entered on form.</v>
      </c>
      <c r="AB281" s="13">
        <f t="shared" si="42"/>
        <v>1019719</v>
      </c>
      <c r="AC281" s="13">
        <f t="shared" si="43"/>
        <v>1019719</v>
      </c>
      <c r="AD281" s="13">
        <f t="shared" si="44"/>
        <v>0</v>
      </c>
    </row>
    <row r="282" spans="1:30" ht="25.5" x14ac:dyDescent="0.25">
      <c r="A282" s="7">
        <f t="shared" si="36"/>
        <v>261</v>
      </c>
      <c r="B282" s="7" t="s">
        <v>1280</v>
      </c>
      <c r="C282" s="7" t="s">
        <v>973</v>
      </c>
      <c r="D282" s="8" t="str">
        <f>INDEX('Summary by Assessment'!$C$5:$C$101,MATCH(C282,'Summary by Assessment'!$B$5:$B$101,0))</f>
        <v>Perth</v>
      </c>
      <c r="E282" s="9" t="s">
        <v>974</v>
      </c>
      <c r="F282" s="9" t="s">
        <v>170</v>
      </c>
      <c r="G282" s="9" t="s">
        <v>51</v>
      </c>
      <c r="H282" s="7" t="s">
        <v>975</v>
      </c>
      <c r="I282" s="7" t="s">
        <v>92</v>
      </c>
      <c r="J282" s="9" t="s">
        <v>1281</v>
      </c>
      <c r="K282" s="9" t="s">
        <v>1282</v>
      </c>
      <c r="L282" s="9" t="s">
        <v>1281</v>
      </c>
      <c r="M282" s="10">
        <v>1</v>
      </c>
      <c r="N282" s="10">
        <v>1</v>
      </c>
      <c r="O282" s="7">
        <f t="shared" si="37"/>
        <v>1</v>
      </c>
      <c r="P282" s="7" t="str">
        <f>INDEX('Scales &amp; Matrix'!$B$13:$F$17,6-N282,M282)</f>
        <v>Very Low</v>
      </c>
      <c r="Q282" s="9" t="s">
        <v>1279</v>
      </c>
      <c r="R282" s="10">
        <v>1</v>
      </c>
      <c r="S282" s="10">
        <v>1</v>
      </c>
      <c r="T282" s="7">
        <f t="shared" si="38"/>
        <v>1</v>
      </c>
      <c r="U282" s="7" t="str">
        <f>INDEX('Scales &amp; Matrix'!$B$13:$F$17,6-S282,R282)</f>
        <v>Very Low</v>
      </c>
      <c r="V282" s="11">
        <f t="shared" si="39"/>
        <v>0</v>
      </c>
      <c r="W282" s="12">
        <f t="shared" si="40"/>
        <v>0</v>
      </c>
      <c r="X282" s="9" t="s">
        <v>1279</v>
      </c>
      <c r="Y282" s="7" t="s">
        <v>1234</v>
      </c>
      <c r="Z282" s="7" t="s">
        <v>1234</v>
      </c>
      <c r="AA282" s="9" t="str">
        <f t="shared" si="41"/>
        <v>Placeholder - no hazard entered on form.</v>
      </c>
      <c r="AB282" s="13">
        <f t="shared" si="42"/>
        <v>1019718</v>
      </c>
      <c r="AC282" s="13">
        <f t="shared" si="43"/>
        <v>1019718</v>
      </c>
      <c r="AD282" s="13">
        <f t="shared" si="44"/>
        <v>0</v>
      </c>
    </row>
    <row r="283" spans="1:30" ht="38.25" x14ac:dyDescent="0.25">
      <c r="A283" s="7">
        <f t="shared" si="36"/>
        <v>261</v>
      </c>
      <c r="B283" s="7" t="s">
        <v>1283</v>
      </c>
      <c r="C283" s="7" t="s">
        <v>208</v>
      </c>
      <c r="D283" s="8" t="str">
        <f>INDEX('Summary by Assessment'!$C$5:$C$101,MATCH(C283,'Summary by Assessment'!$B$5:$B$101,0))</f>
        <v>Perth</v>
      </c>
      <c r="E283" s="9" t="s">
        <v>209</v>
      </c>
      <c r="F283" s="9" t="s">
        <v>155</v>
      </c>
      <c r="G283" s="9" t="s">
        <v>210</v>
      </c>
      <c r="H283" s="7" t="s">
        <v>211</v>
      </c>
      <c r="I283" s="7" t="s">
        <v>92</v>
      </c>
      <c r="J283" s="9" t="s">
        <v>1284</v>
      </c>
      <c r="K283" s="9" t="s">
        <v>41</v>
      </c>
      <c r="L283" s="9" t="s">
        <v>1284</v>
      </c>
      <c r="M283" s="10">
        <v>1</v>
      </c>
      <c r="N283" s="10">
        <v>1</v>
      </c>
      <c r="O283" s="7">
        <f t="shared" si="37"/>
        <v>1</v>
      </c>
      <c r="P283" s="7" t="str">
        <f>INDEX('Scales &amp; Matrix'!$B$13:$F$17,6-N283,M283)</f>
        <v>Very Low</v>
      </c>
      <c r="Q283" s="9" t="s">
        <v>1284</v>
      </c>
      <c r="R283" s="10">
        <v>1</v>
      </c>
      <c r="S283" s="10">
        <v>1</v>
      </c>
      <c r="T283" s="7">
        <f t="shared" si="38"/>
        <v>1</v>
      </c>
      <c r="U283" s="7" t="str">
        <f>INDEX('Scales &amp; Matrix'!$B$13:$F$17,6-S283,R283)</f>
        <v>Very Low</v>
      </c>
      <c r="V283" s="11">
        <f t="shared" si="39"/>
        <v>0</v>
      </c>
      <c r="W283" s="12">
        <f t="shared" si="40"/>
        <v>0</v>
      </c>
      <c r="X283" s="9" t="s">
        <v>215</v>
      </c>
      <c r="Y283" s="7" t="s">
        <v>1234</v>
      </c>
      <c r="Z283" s="7" t="s">
        <v>1234</v>
      </c>
      <c r="AA283" s="9" t="str">
        <f t="shared" si="41"/>
        <v>Placeholder - no hazard entered on form.</v>
      </c>
      <c r="AB283" s="13">
        <f t="shared" si="42"/>
        <v>1019717</v>
      </c>
      <c r="AC283" s="13">
        <f t="shared" si="43"/>
        <v>1019717</v>
      </c>
      <c r="AD283" s="13">
        <f t="shared" si="44"/>
        <v>0</v>
      </c>
    </row>
    <row r="284" spans="1:30" ht="38.25" x14ac:dyDescent="0.25">
      <c r="A284" s="7">
        <f t="shared" si="36"/>
        <v>261</v>
      </c>
      <c r="B284" s="7" t="s">
        <v>1285</v>
      </c>
      <c r="C284" s="7" t="s">
        <v>333</v>
      </c>
      <c r="D284" s="8" t="str">
        <f>INDEX('Summary by Assessment'!$C$5:$C$101,MATCH(C284,'Summary by Assessment'!$B$5:$B$101,0))</f>
        <v>Perth</v>
      </c>
      <c r="E284" s="9" t="s">
        <v>334</v>
      </c>
      <c r="F284" s="9" t="s">
        <v>170</v>
      </c>
      <c r="G284" s="9" t="s">
        <v>210</v>
      </c>
      <c r="H284" s="7" t="s">
        <v>335</v>
      </c>
      <c r="I284" s="7" t="s">
        <v>92</v>
      </c>
      <c r="J284" s="9" t="s">
        <v>1274</v>
      </c>
      <c r="K284" s="9" t="s">
        <v>307</v>
      </c>
      <c r="L284" s="9" t="s">
        <v>1275</v>
      </c>
      <c r="M284" s="10">
        <v>1</v>
      </c>
      <c r="N284" s="10">
        <v>1</v>
      </c>
      <c r="O284" s="7">
        <f t="shared" si="37"/>
        <v>1</v>
      </c>
      <c r="P284" s="7" t="str">
        <f>INDEX('Scales &amp; Matrix'!$B$13:$F$17,6-N284,M284)</f>
        <v>Very Low</v>
      </c>
      <c r="Q284" s="9" t="s">
        <v>1275</v>
      </c>
      <c r="R284" s="10">
        <v>1</v>
      </c>
      <c r="S284" s="10">
        <v>1</v>
      </c>
      <c r="T284" s="7">
        <f t="shared" si="38"/>
        <v>1</v>
      </c>
      <c r="U284" s="7" t="str">
        <f>INDEX('Scales &amp; Matrix'!$B$13:$F$17,6-S284,R284)</f>
        <v>Very Low</v>
      </c>
      <c r="V284" s="11">
        <f t="shared" si="39"/>
        <v>0</v>
      </c>
      <c r="W284" s="12">
        <f t="shared" si="40"/>
        <v>0</v>
      </c>
      <c r="X284" s="9" t="s">
        <v>1275</v>
      </c>
      <c r="Y284" s="7" t="s">
        <v>1234</v>
      </c>
      <c r="Z284" s="7" t="s">
        <v>1234</v>
      </c>
      <c r="AA284" s="9" t="str">
        <f t="shared" si="41"/>
        <v>Placeholder - no hazard entered on form.</v>
      </c>
      <c r="AB284" s="13">
        <f t="shared" si="42"/>
        <v>1019716</v>
      </c>
      <c r="AC284" s="13">
        <f t="shared" si="43"/>
        <v>1019716</v>
      </c>
      <c r="AD284" s="13">
        <f t="shared" si="44"/>
        <v>0</v>
      </c>
    </row>
    <row r="285" spans="1:30" ht="38.25" x14ac:dyDescent="0.25">
      <c r="A285" s="7">
        <f t="shared" si="36"/>
        <v>261</v>
      </c>
      <c r="B285" s="7" t="s">
        <v>1286</v>
      </c>
      <c r="C285" s="7" t="s">
        <v>1062</v>
      </c>
      <c r="D285" s="8" t="str">
        <f>INDEX('Summary by Assessment'!$C$5:$C$101,MATCH(C285,'Summary by Assessment'!$B$5:$B$101,0))</f>
        <v>Perth</v>
      </c>
      <c r="E285" s="9" t="s">
        <v>1063</v>
      </c>
      <c r="F285" s="9" t="s">
        <v>155</v>
      </c>
      <c r="G285" s="9" t="s">
        <v>51</v>
      </c>
      <c r="H285" s="7" t="s">
        <v>1064</v>
      </c>
      <c r="I285" s="7" t="s">
        <v>92</v>
      </c>
      <c r="J285" s="9" t="s">
        <v>1065</v>
      </c>
      <c r="K285" s="9" t="s">
        <v>307</v>
      </c>
      <c r="L285" s="9" t="s">
        <v>1284</v>
      </c>
      <c r="M285" s="10">
        <v>1</v>
      </c>
      <c r="N285" s="10">
        <v>1</v>
      </c>
      <c r="O285" s="7">
        <f t="shared" si="37"/>
        <v>1</v>
      </c>
      <c r="P285" s="7" t="str">
        <f>INDEX('Scales &amp; Matrix'!$B$13:$F$17,6-N285,M285)</f>
        <v>Very Low</v>
      </c>
      <c r="Q285" s="9" t="s">
        <v>1284</v>
      </c>
      <c r="R285" s="10">
        <v>1</v>
      </c>
      <c r="S285" s="10">
        <v>1</v>
      </c>
      <c r="T285" s="7">
        <f t="shared" si="38"/>
        <v>1</v>
      </c>
      <c r="U285" s="7" t="str">
        <f>INDEX('Scales &amp; Matrix'!$B$13:$F$17,6-S285,R285)</f>
        <v>Very Low</v>
      </c>
      <c r="V285" s="11">
        <f t="shared" si="39"/>
        <v>0</v>
      </c>
      <c r="W285" s="12">
        <f t="shared" si="40"/>
        <v>0</v>
      </c>
      <c r="X285" s="9" t="s">
        <v>1068</v>
      </c>
      <c r="Y285" s="7" t="s">
        <v>1234</v>
      </c>
      <c r="Z285" s="7" t="s">
        <v>1234</v>
      </c>
      <c r="AA285" s="9" t="str">
        <f t="shared" si="41"/>
        <v>Placeholder - no hazard entered on form.</v>
      </c>
      <c r="AB285" s="13">
        <f t="shared" si="42"/>
        <v>1019715</v>
      </c>
      <c r="AC285" s="13">
        <f t="shared" si="43"/>
        <v>1019715</v>
      </c>
      <c r="AD285" s="13">
        <f t="shared" si="44"/>
        <v>0</v>
      </c>
    </row>
    <row r="286" spans="1:30" ht="38.25" x14ac:dyDescent="0.25">
      <c r="A286" s="7">
        <f t="shared" si="36"/>
        <v>261</v>
      </c>
      <c r="B286" s="7" t="s">
        <v>1287</v>
      </c>
      <c r="C286" s="7" t="s">
        <v>979</v>
      </c>
      <c r="D286" s="8" t="str">
        <f>INDEX('Summary by Assessment'!$C$5:$C$101,MATCH(C286,'Summary by Assessment'!$B$5:$B$101,0))</f>
        <v>Perth</v>
      </c>
      <c r="E286" s="9" t="s">
        <v>980</v>
      </c>
      <c r="F286" s="9" t="s">
        <v>155</v>
      </c>
      <c r="G286" s="9" t="s">
        <v>180</v>
      </c>
      <c r="H286" s="7" t="s">
        <v>981</v>
      </c>
      <c r="I286" s="7" t="s">
        <v>92</v>
      </c>
      <c r="J286" s="9" t="s">
        <v>1272</v>
      </c>
      <c r="K286" s="9" t="s">
        <v>307</v>
      </c>
      <c r="L286" s="9" t="s">
        <v>1272</v>
      </c>
      <c r="M286" s="10">
        <v>1</v>
      </c>
      <c r="N286" s="10">
        <v>1</v>
      </c>
      <c r="O286" s="7">
        <f t="shared" si="37"/>
        <v>1</v>
      </c>
      <c r="P286" s="7" t="str">
        <f>INDEX('Scales &amp; Matrix'!$B$13:$F$17,6-N286,M286)</f>
        <v>Very Low</v>
      </c>
      <c r="Q286" s="9" t="s">
        <v>1272</v>
      </c>
      <c r="R286" s="10">
        <v>1</v>
      </c>
      <c r="S286" s="10">
        <v>1</v>
      </c>
      <c r="T286" s="7">
        <f t="shared" si="38"/>
        <v>1</v>
      </c>
      <c r="U286" s="7" t="str">
        <f>INDEX('Scales &amp; Matrix'!$B$13:$F$17,6-S286,R286)</f>
        <v>Very Low</v>
      </c>
      <c r="V286" s="11">
        <f t="shared" si="39"/>
        <v>0</v>
      </c>
      <c r="W286" s="12">
        <f t="shared" si="40"/>
        <v>0</v>
      </c>
      <c r="X286" s="9" t="s">
        <v>1272</v>
      </c>
      <c r="Y286" s="7" t="s">
        <v>1234</v>
      </c>
      <c r="Z286" s="7" t="s">
        <v>1234</v>
      </c>
      <c r="AA286" s="9" t="str">
        <f t="shared" si="41"/>
        <v>Placeholder - no hazard entered on form.</v>
      </c>
      <c r="AB286" s="13">
        <f t="shared" si="42"/>
        <v>1019714</v>
      </c>
      <c r="AC286" s="13">
        <f t="shared" si="43"/>
        <v>1019714</v>
      </c>
      <c r="AD286" s="13">
        <f t="shared" si="44"/>
        <v>0</v>
      </c>
    </row>
    <row r="287" spans="1:30" ht="38.25" x14ac:dyDescent="0.25">
      <c r="A287" s="7">
        <f t="shared" si="36"/>
        <v>261</v>
      </c>
      <c r="B287" s="7" t="s">
        <v>1288</v>
      </c>
      <c r="C287" s="7" t="s">
        <v>1014</v>
      </c>
      <c r="D287" s="8" t="str">
        <f>INDEX('Summary by Assessment'!$C$5:$C$101,MATCH(C287,'Summary by Assessment'!$B$5:$B$101,0))</f>
        <v>Perth</v>
      </c>
      <c r="E287" s="9" t="s">
        <v>1015</v>
      </c>
      <c r="F287" s="9" t="s">
        <v>232</v>
      </c>
      <c r="G287" s="9" t="s">
        <v>1016</v>
      </c>
      <c r="H287" s="7" t="s">
        <v>1017</v>
      </c>
      <c r="I287" s="7" t="s">
        <v>92</v>
      </c>
      <c r="J287" s="9" t="s">
        <v>1289</v>
      </c>
      <c r="K287" s="9" t="s">
        <v>551</v>
      </c>
      <c r="L287" s="9" t="s">
        <v>1289</v>
      </c>
      <c r="M287" s="10">
        <v>1</v>
      </c>
      <c r="N287" s="10">
        <v>1</v>
      </c>
      <c r="O287" s="7">
        <f t="shared" si="37"/>
        <v>1</v>
      </c>
      <c r="P287" s="7" t="str">
        <f>INDEX('Scales &amp; Matrix'!$B$13:$F$17,6-N287,M287)</f>
        <v>Very Low</v>
      </c>
      <c r="Q287" s="9" t="s">
        <v>1279</v>
      </c>
      <c r="R287" s="10">
        <v>1</v>
      </c>
      <c r="S287" s="10">
        <v>1</v>
      </c>
      <c r="T287" s="7">
        <f t="shared" si="38"/>
        <v>1</v>
      </c>
      <c r="U287" s="7" t="str">
        <f>INDEX('Scales &amp; Matrix'!$B$13:$F$17,6-S287,R287)</f>
        <v>Very Low</v>
      </c>
      <c r="V287" s="11">
        <f t="shared" si="39"/>
        <v>0</v>
      </c>
      <c r="W287" s="12">
        <f t="shared" si="40"/>
        <v>0</v>
      </c>
      <c r="X287" s="9" t="s">
        <v>1290</v>
      </c>
      <c r="Y287" s="7" t="s">
        <v>1234</v>
      </c>
      <c r="Z287" s="7" t="s">
        <v>1234</v>
      </c>
      <c r="AA287" s="9" t="str">
        <f t="shared" si="41"/>
        <v>Placeholder - no hazard entered on form.</v>
      </c>
      <c r="AB287" s="13">
        <f t="shared" si="42"/>
        <v>1019713</v>
      </c>
      <c r="AC287" s="13">
        <f t="shared" si="43"/>
        <v>1019713</v>
      </c>
      <c r="AD287" s="13">
        <f t="shared" si="44"/>
        <v>0</v>
      </c>
    </row>
    <row r="288" spans="1:30" ht="38.25" x14ac:dyDescent="0.25">
      <c r="A288" s="7">
        <f t="shared" si="36"/>
        <v>261</v>
      </c>
      <c r="B288" s="7" t="s">
        <v>1291</v>
      </c>
      <c r="C288" s="7" t="s">
        <v>587</v>
      </c>
      <c r="D288" s="8" t="str">
        <f>INDEX('Summary by Assessment'!$C$5:$C$101,MATCH(C288,'Summary by Assessment'!$B$5:$B$101,0))</f>
        <v>Perth</v>
      </c>
      <c r="E288" s="9" t="s">
        <v>588</v>
      </c>
      <c r="F288" s="9" t="s">
        <v>155</v>
      </c>
      <c r="G288" s="9" t="s">
        <v>51</v>
      </c>
      <c r="H288" s="7" t="s">
        <v>589</v>
      </c>
      <c r="I288" s="7" t="s">
        <v>92</v>
      </c>
      <c r="J288" s="9" t="s">
        <v>1279</v>
      </c>
      <c r="K288" s="9" t="s">
        <v>307</v>
      </c>
      <c r="L288" s="9" t="s">
        <v>1292</v>
      </c>
      <c r="M288" s="10">
        <v>1</v>
      </c>
      <c r="N288" s="10">
        <v>1</v>
      </c>
      <c r="O288" s="7">
        <f t="shared" si="37"/>
        <v>1</v>
      </c>
      <c r="P288" s="7" t="str">
        <f>INDEX('Scales &amp; Matrix'!$B$13:$F$17,6-N288,M288)</f>
        <v>Very Low</v>
      </c>
      <c r="Q288" s="9" t="s">
        <v>1284</v>
      </c>
      <c r="R288" s="10">
        <v>1</v>
      </c>
      <c r="S288" s="10">
        <v>1</v>
      </c>
      <c r="T288" s="7">
        <f t="shared" si="38"/>
        <v>1</v>
      </c>
      <c r="U288" s="7" t="str">
        <f>INDEX('Scales &amp; Matrix'!$B$13:$F$17,6-S288,R288)</f>
        <v>Very Low</v>
      </c>
      <c r="V288" s="11">
        <f t="shared" si="39"/>
        <v>0</v>
      </c>
      <c r="W288" s="12">
        <f t="shared" si="40"/>
        <v>0</v>
      </c>
      <c r="X288" s="9" t="s">
        <v>1284</v>
      </c>
      <c r="Y288" s="7" t="s">
        <v>1234</v>
      </c>
      <c r="Z288" s="7" t="s">
        <v>1234</v>
      </c>
      <c r="AA288" s="9" t="str">
        <f t="shared" si="41"/>
        <v>Placeholder - no hazard entered on form.</v>
      </c>
      <c r="AB288" s="13">
        <f t="shared" si="42"/>
        <v>1019712</v>
      </c>
      <c r="AC288" s="13">
        <f t="shared" si="43"/>
        <v>1019712</v>
      </c>
      <c r="AD288" s="13">
        <f t="shared" si="44"/>
        <v>0</v>
      </c>
    </row>
    <row r="289" spans="1:30" ht="38.25" x14ac:dyDescent="0.25">
      <c r="A289" s="7">
        <f t="shared" si="36"/>
        <v>261</v>
      </c>
      <c r="B289" s="7" t="s">
        <v>1293</v>
      </c>
      <c r="C289" s="7" t="s">
        <v>595</v>
      </c>
      <c r="D289" s="8" t="str">
        <f>INDEX('Summary by Assessment'!$C$5:$C$101,MATCH(C289,'Summary by Assessment'!$B$5:$B$101,0))</f>
        <v>Perth</v>
      </c>
      <c r="E289" s="9" t="s">
        <v>596</v>
      </c>
      <c r="F289" s="9" t="s">
        <v>155</v>
      </c>
      <c r="G289" s="9" t="s">
        <v>180</v>
      </c>
      <c r="H289" s="7" t="s">
        <v>597</v>
      </c>
      <c r="I289" s="7" t="s">
        <v>92</v>
      </c>
      <c r="J289" s="9" t="s">
        <v>1272</v>
      </c>
      <c r="K289" s="9" t="s">
        <v>307</v>
      </c>
      <c r="L289" s="9" t="s">
        <v>1272</v>
      </c>
      <c r="M289" s="10">
        <v>1</v>
      </c>
      <c r="N289" s="10">
        <v>1</v>
      </c>
      <c r="O289" s="7">
        <f t="shared" si="37"/>
        <v>1</v>
      </c>
      <c r="P289" s="7" t="str">
        <f>INDEX('Scales &amp; Matrix'!$B$13:$F$17,6-N289,M289)</f>
        <v>Very Low</v>
      </c>
      <c r="Q289" s="9" t="s">
        <v>1272</v>
      </c>
      <c r="R289" s="10">
        <v>1</v>
      </c>
      <c r="S289" s="10">
        <v>1</v>
      </c>
      <c r="T289" s="7">
        <f t="shared" si="38"/>
        <v>1</v>
      </c>
      <c r="U289" s="7" t="str">
        <f>INDEX('Scales &amp; Matrix'!$B$13:$F$17,6-S289,R289)</f>
        <v>Very Low</v>
      </c>
      <c r="V289" s="11">
        <f t="shared" si="39"/>
        <v>0</v>
      </c>
      <c r="W289" s="12">
        <f t="shared" si="40"/>
        <v>0</v>
      </c>
      <c r="X289" s="9" t="s">
        <v>1272</v>
      </c>
      <c r="Y289" s="7" t="s">
        <v>1234</v>
      </c>
      <c r="Z289" s="7" t="s">
        <v>1234</v>
      </c>
      <c r="AA289" s="9" t="str">
        <f t="shared" si="41"/>
        <v>Placeholder - no hazard entered on form.</v>
      </c>
      <c r="AB289" s="13">
        <f t="shared" si="42"/>
        <v>1019711</v>
      </c>
      <c r="AC289" s="13">
        <f t="shared" si="43"/>
        <v>1019711</v>
      </c>
      <c r="AD289" s="13">
        <f t="shared" si="44"/>
        <v>0</v>
      </c>
    </row>
    <row r="290" spans="1:30" ht="38.25" x14ac:dyDescent="0.25">
      <c r="A290" s="7">
        <f t="shared" si="36"/>
        <v>261</v>
      </c>
      <c r="B290" s="7" t="s">
        <v>1294</v>
      </c>
      <c r="C290" s="7" t="s">
        <v>599</v>
      </c>
      <c r="D290" s="8" t="str">
        <f>INDEX('Summary by Assessment'!$C$5:$C$101,MATCH(C290,'Summary by Assessment'!$B$5:$B$101,0))</f>
        <v>Perth</v>
      </c>
      <c r="E290" s="9" t="s">
        <v>600</v>
      </c>
      <c r="F290" s="9" t="s">
        <v>155</v>
      </c>
      <c r="G290" s="9" t="s">
        <v>51</v>
      </c>
      <c r="H290" s="7" t="s">
        <v>404</v>
      </c>
      <c r="I290" s="7" t="s">
        <v>92</v>
      </c>
      <c r="J290" s="9" t="s">
        <v>1272</v>
      </c>
      <c r="K290" s="9" t="s">
        <v>307</v>
      </c>
      <c r="L290" s="9" t="s">
        <v>1272</v>
      </c>
      <c r="M290" s="10">
        <v>1</v>
      </c>
      <c r="N290" s="10">
        <v>1</v>
      </c>
      <c r="O290" s="7">
        <f t="shared" si="37"/>
        <v>1</v>
      </c>
      <c r="P290" s="7" t="str">
        <f>INDEX('Scales &amp; Matrix'!$B$13:$F$17,6-N290,M290)</f>
        <v>Very Low</v>
      </c>
      <c r="Q290" s="9" t="s">
        <v>1272</v>
      </c>
      <c r="R290" s="10">
        <v>1</v>
      </c>
      <c r="S290" s="10">
        <v>1</v>
      </c>
      <c r="T290" s="7">
        <f t="shared" si="38"/>
        <v>1</v>
      </c>
      <c r="U290" s="7" t="str">
        <f>INDEX('Scales &amp; Matrix'!$B$13:$F$17,6-S290,R290)</f>
        <v>Very Low</v>
      </c>
      <c r="V290" s="11">
        <f t="shared" si="39"/>
        <v>0</v>
      </c>
      <c r="W290" s="12">
        <f t="shared" si="40"/>
        <v>0</v>
      </c>
      <c r="X290" s="9" t="s">
        <v>1272</v>
      </c>
      <c r="Y290" s="7" t="s">
        <v>1234</v>
      </c>
      <c r="Z290" s="7" t="s">
        <v>1234</v>
      </c>
      <c r="AA290" s="9" t="str">
        <f t="shared" si="41"/>
        <v>Placeholder - no hazard entered on form.</v>
      </c>
      <c r="AB290" s="13">
        <f t="shared" si="42"/>
        <v>1019710</v>
      </c>
      <c r="AC290" s="13">
        <f t="shared" si="43"/>
        <v>1019710</v>
      </c>
      <c r="AD290" s="13">
        <f t="shared" si="44"/>
        <v>0</v>
      </c>
    </row>
    <row r="291" spans="1:30" ht="38.25" x14ac:dyDescent="0.25">
      <c r="A291" s="7">
        <f t="shared" si="36"/>
        <v>261</v>
      </c>
      <c r="B291" s="7" t="s">
        <v>1295</v>
      </c>
      <c r="C291" s="7" t="s">
        <v>402</v>
      </c>
      <c r="D291" s="8" t="str">
        <f>INDEX('Summary by Assessment'!$C$5:$C$101,MATCH(C291,'Summary by Assessment'!$B$5:$B$101,0))</f>
        <v>Perth</v>
      </c>
      <c r="E291" s="9" t="s">
        <v>403</v>
      </c>
      <c r="F291" s="9" t="s">
        <v>155</v>
      </c>
      <c r="G291" s="9" t="s">
        <v>51</v>
      </c>
      <c r="H291" s="7" t="s">
        <v>404</v>
      </c>
      <c r="I291" s="7" t="s">
        <v>92</v>
      </c>
      <c r="J291" s="9" t="s">
        <v>1272</v>
      </c>
      <c r="K291" s="9" t="s">
        <v>307</v>
      </c>
      <c r="L291" s="9" t="s">
        <v>1272</v>
      </c>
      <c r="M291" s="10">
        <v>1</v>
      </c>
      <c r="N291" s="10">
        <v>1</v>
      </c>
      <c r="O291" s="7">
        <f t="shared" si="37"/>
        <v>1</v>
      </c>
      <c r="P291" s="7" t="str">
        <f>INDEX('Scales &amp; Matrix'!$B$13:$F$17,6-N291,M291)</f>
        <v>Very Low</v>
      </c>
      <c r="Q291" s="9" t="s">
        <v>1272</v>
      </c>
      <c r="R291" s="10">
        <v>1</v>
      </c>
      <c r="S291" s="10">
        <v>1</v>
      </c>
      <c r="T291" s="7">
        <f t="shared" si="38"/>
        <v>1</v>
      </c>
      <c r="U291" s="7" t="str">
        <f>INDEX('Scales &amp; Matrix'!$B$13:$F$17,6-S291,R291)</f>
        <v>Very Low</v>
      </c>
      <c r="V291" s="11">
        <f t="shared" si="39"/>
        <v>0</v>
      </c>
      <c r="W291" s="12">
        <f t="shared" si="40"/>
        <v>0</v>
      </c>
      <c r="X291" s="9" t="s">
        <v>1272</v>
      </c>
      <c r="Y291" s="7" t="s">
        <v>1234</v>
      </c>
      <c r="Z291" s="7" t="s">
        <v>1234</v>
      </c>
      <c r="AA291" s="9" t="str">
        <f t="shared" si="41"/>
        <v>Placeholder - no hazard entered on form.</v>
      </c>
      <c r="AB291" s="13">
        <f t="shared" si="42"/>
        <v>1019709</v>
      </c>
      <c r="AC291" s="13">
        <f t="shared" si="43"/>
        <v>1019709</v>
      </c>
      <c r="AD291" s="13">
        <f t="shared" si="44"/>
        <v>0</v>
      </c>
    </row>
    <row r="292" spans="1:30" ht="38.25" x14ac:dyDescent="0.25">
      <c r="A292" s="7">
        <f t="shared" si="36"/>
        <v>261</v>
      </c>
      <c r="B292" s="7" t="s">
        <v>1296</v>
      </c>
      <c r="C292" s="7" t="s">
        <v>605</v>
      </c>
      <c r="D292" s="8" t="str">
        <f>INDEX('Summary by Assessment'!$C$5:$C$101,MATCH(C292,'Summary by Assessment'!$B$5:$B$101,0))</f>
        <v>Perth</v>
      </c>
      <c r="E292" s="9" t="s">
        <v>606</v>
      </c>
      <c r="F292" s="9" t="s">
        <v>155</v>
      </c>
      <c r="G292" s="9" t="s">
        <v>51</v>
      </c>
      <c r="H292" s="7" t="s">
        <v>607</v>
      </c>
      <c r="I292" s="7" t="s">
        <v>92</v>
      </c>
      <c r="J292" s="9" t="s">
        <v>1272</v>
      </c>
      <c r="K292" s="9" t="s">
        <v>307</v>
      </c>
      <c r="L292" s="9" t="s">
        <v>1272</v>
      </c>
      <c r="M292" s="10">
        <v>1</v>
      </c>
      <c r="N292" s="10">
        <v>1</v>
      </c>
      <c r="O292" s="7">
        <f t="shared" si="37"/>
        <v>1</v>
      </c>
      <c r="P292" s="7" t="str">
        <f>INDEX('Scales &amp; Matrix'!$B$13:$F$17,6-N292,M292)</f>
        <v>Very Low</v>
      </c>
      <c r="Q292" s="9" t="s">
        <v>1272</v>
      </c>
      <c r="R292" s="10">
        <v>1</v>
      </c>
      <c r="S292" s="10">
        <v>1</v>
      </c>
      <c r="T292" s="7">
        <f t="shared" si="38"/>
        <v>1</v>
      </c>
      <c r="U292" s="7" t="str">
        <f>INDEX('Scales &amp; Matrix'!$B$13:$F$17,6-S292,R292)</f>
        <v>Very Low</v>
      </c>
      <c r="V292" s="11">
        <f t="shared" si="39"/>
        <v>0</v>
      </c>
      <c r="W292" s="12">
        <f t="shared" si="40"/>
        <v>0</v>
      </c>
      <c r="X292" s="9" t="s">
        <v>1272</v>
      </c>
      <c r="Y292" s="7" t="s">
        <v>1234</v>
      </c>
      <c r="Z292" s="7" t="s">
        <v>1234</v>
      </c>
      <c r="AA292" s="9" t="str">
        <f t="shared" si="41"/>
        <v>Placeholder - no hazard entered on form.</v>
      </c>
      <c r="AB292" s="13">
        <f t="shared" si="42"/>
        <v>1019708</v>
      </c>
      <c r="AC292" s="13">
        <f t="shared" si="43"/>
        <v>1019708</v>
      </c>
      <c r="AD292" s="13">
        <f t="shared" si="44"/>
        <v>0</v>
      </c>
    </row>
    <row r="293" spans="1:30" ht="51" x14ac:dyDescent="0.25">
      <c r="A293" s="7">
        <f t="shared" si="36"/>
        <v>261</v>
      </c>
      <c r="B293" s="7" t="s">
        <v>1297</v>
      </c>
      <c r="C293" s="7" t="s">
        <v>731</v>
      </c>
      <c r="D293" s="8" t="str">
        <f>INDEX('Summary by Assessment'!$C$5:$C$101,MATCH(C293,'Summary by Assessment'!$B$5:$B$101,0))</f>
        <v>Perth</v>
      </c>
      <c r="E293" s="9" t="s">
        <v>732</v>
      </c>
      <c r="F293" s="9" t="s">
        <v>155</v>
      </c>
      <c r="G293" s="9" t="s">
        <v>51</v>
      </c>
      <c r="H293" s="7" t="s">
        <v>733</v>
      </c>
      <c r="I293" s="7" t="s">
        <v>92</v>
      </c>
      <c r="J293" s="9" t="s">
        <v>1272</v>
      </c>
      <c r="K293" s="9" t="s">
        <v>307</v>
      </c>
      <c r="L293" s="9" t="s">
        <v>1272</v>
      </c>
      <c r="M293" s="10">
        <v>1</v>
      </c>
      <c r="N293" s="10">
        <v>1</v>
      </c>
      <c r="O293" s="7">
        <f t="shared" si="37"/>
        <v>1</v>
      </c>
      <c r="P293" s="7" t="str">
        <f>INDEX('Scales &amp; Matrix'!$B$13:$F$17,6-N293,M293)</f>
        <v>Very Low</v>
      </c>
      <c r="Q293" s="9" t="s">
        <v>1272</v>
      </c>
      <c r="R293" s="10">
        <v>1</v>
      </c>
      <c r="S293" s="10">
        <v>1</v>
      </c>
      <c r="T293" s="7">
        <f t="shared" si="38"/>
        <v>1</v>
      </c>
      <c r="U293" s="7" t="str">
        <f>INDEX('Scales &amp; Matrix'!$B$13:$F$17,6-S293,R293)</f>
        <v>Very Low</v>
      </c>
      <c r="V293" s="11">
        <f t="shared" si="39"/>
        <v>0</v>
      </c>
      <c r="W293" s="12">
        <f t="shared" si="40"/>
        <v>0</v>
      </c>
      <c r="X293" s="9" t="s">
        <v>1272</v>
      </c>
      <c r="Y293" s="7" t="s">
        <v>1234</v>
      </c>
      <c r="Z293" s="7" t="s">
        <v>1234</v>
      </c>
      <c r="AA293" s="9" t="str">
        <f t="shared" si="41"/>
        <v>Placeholder - no hazard entered on form.</v>
      </c>
      <c r="AB293" s="13">
        <f t="shared" si="42"/>
        <v>1019707</v>
      </c>
      <c r="AC293" s="13">
        <f t="shared" si="43"/>
        <v>1019707</v>
      </c>
      <c r="AD293" s="13">
        <f t="shared" si="44"/>
        <v>0</v>
      </c>
    </row>
    <row r="294" spans="1:30" ht="38.25" x14ac:dyDescent="0.25">
      <c r="A294" s="7">
        <f t="shared" si="36"/>
        <v>261</v>
      </c>
      <c r="B294" s="7" t="s">
        <v>1298</v>
      </c>
      <c r="C294" s="7" t="s">
        <v>612</v>
      </c>
      <c r="D294" s="8" t="str">
        <f>INDEX('Summary by Assessment'!$C$5:$C$101,MATCH(C294,'Summary by Assessment'!$B$5:$B$101,0))</f>
        <v>Perth</v>
      </c>
      <c r="E294" s="9" t="s">
        <v>613</v>
      </c>
      <c r="F294" s="9" t="s">
        <v>170</v>
      </c>
      <c r="G294" s="9" t="s">
        <v>51</v>
      </c>
      <c r="H294" s="7" t="s">
        <v>614</v>
      </c>
      <c r="I294" s="7" t="s">
        <v>92</v>
      </c>
      <c r="J294" s="9" t="s">
        <v>1272</v>
      </c>
      <c r="K294" s="9" t="s">
        <v>307</v>
      </c>
      <c r="L294" s="9" t="s">
        <v>1272</v>
      </c>
      <c r="M294" s="10">
        <v>1</v>
      </c>
      <c r="N294" s="10">
        <v>1</v>
      </c>
      <c r="O294" s="7">
        <f t="shared" si="37"/>
        <v>1</v>
      </c>
      <c r="P294" s="7" t="str">
        <f>INDEX('Scales &amp; Matrix'!$B$13:$F$17,6-N294,M294)</f>
        <v>Very Low</v>
      </c>
      <c r="Q294" s="9" t="s">
        <v>1272</v>
      </c>
      <c r="R294" s="10">
        <v>1</v>
      </c>
      <c r="S294" s="10">
        <v>1</v>
      </c>
      <c r="T294" s="7">
        <f t="shared" si="38"/>
        <v>1</v>
      </c>
      <c r="U294" s="7" t="str">
        <f>INDEX('Scales &amp; Matrix'!$B$13:$F$17,6-S294,R294)</f>
        <v>Very Low</v>
      </c>
      <c r="V294" s="11">
        <f t="shared" si="39"/>
        <v>0</v>
      </c>
      <c r="W294" s="12">
        <f t="shared" si="40"/>
        <v>0</v>
      </c>
      <c r="X294" s="9" t="s">
        <v>1272</v>
      </c>
      <c r="Y294" s="7" t="s">
        <v>1234</v>
      </c>
      <c r="Z294" s="7" t="s">
        <v>1234</v>
      </c>
      <c r="AA294" s="9" t="str">
        <f t="shared" si="41"/>
        <v>Placeholder - no hazard entered on form.</v>
      </c>
      <c r="AB294" s="13">
        <f t="shared" si="42"/>
        <v>1019706</v>
      </c>
      <c r="AC294" s="13">
        <f t="shared" si="43"/>
        <v>1019706</v>
      </c>
      <c r="AD294" s="13">
        <f t="shared" si="44"/>
        <v>0</v>
      </c>
    </row>
    <row r="295" spans="1:30" ht="25.5" x14ac:dyDescent="0.25">
      <c r="A295" s="7">
        <f t="shared" si="36"/>
        <v>261</v>
      </c>
      <c r="B295" s="7" t="s">
        <v>1299</v>
      </c>
      <c r="C295" s="7" t="s">
        <v>337</v>
      </c>
      <c r="D295" s="8" t="str">
        <f>INDEX('Summary by Assessment'!$C$5:$C$101,MATCH(C295,'Summary by Assessment'!$B$5:$B$101,0))</f>
        <v>Perth</v>
      </c>
      <c r="E295" s="9" t="s">
        <v>338</v>
      </c>
      <c r="F295" s="9" t="s">
        <v>170</v>
      </c>
      <c r="G295" s="9" t="s">
        <v>51</v>
      </c>
      <c r="H295" s="7" t="s">
        <v>339</v>
      </c>
      <c r="I295" s="7" t="s">
        <v>92</v>
      </c>
      <c r="J295" s="9" t="s">
        <v>1279</v>
      </c>
      <c r="K295" s="9" t="s">
        <v>307</v>
      </c>
      <c r="L295" s="9" t="s">
        <v>1279</v>
      </c>
      <c r="M295" s="10">
        <v>1</v>
      </c>
      <c r="N295" s="10">
        <v>1</v>
      </c>
      <c r="O295" s="7">
        <f t="shared" si="37"/>
        <v>1</v>
      </c>
      <c r="P295" s="7" t="str">
        <f>INDEX('Scales &amp; Matrix'!$B$13:$F$17,6-N295,M295)</f>
        <v>Very Low</v>
      </c>
      <c r="Q295" s="9" t="s">
        <v>1279</v>
      </c>
      <c r="R295" s="10">
        <v>1</v>
      </c>
      <c r="S295" s="10">
        <v>1</v>
      </c>
      <c r="T295" s="7">
        <f t="shared" si="38"/>
        <v>1</v>
      </c>
      <c r="U295" s="7" t="str">
        <f>INDEX('Scales &amp; Matrix'!$B$13:$F$17,6-S295,R295)</f>
        <v>Very Low</v>
      </c>
      <c r="V295" s="11">
        <f t="shared" si="39"/>
        <v>0</v>
      </c>
      <c r="W295" s="12">
        <f t="shared" si="40"/>
        <v>0</v>
      </c>
      <c r="X295" s="9" t="s">
        <v>1279</v>
      </c>
      <c r="Y295" s="7" t="s">
        <v>1234</v>
      </c>
      <c r="Z295" s="7" t="s">
        <v>1234</v>
      </c>
      <c r="AA295" s="9" t="str">
        <f t="shared" si="41"/>
        <v>Placeholder - no hazard entered on form.</v>
      </c>
      <c r="AB295" s="13">
        <f t="shared" si="42"/>
        <v>1019705</v>
      </c>
      <c r="AC295" s="13">
        <f t="shared" si="43"/>
        <v>1019705</v>
      </c>
      <c r="AD295" s="13">
        <f t="shared" si="44"/>
        <v>0</v>
      </c>
    </row>
    <row r="296" spans="1:30" ht="25.5" x14ac:dyDescent="0.25">
      <c r="A296" s="7">
        <f t="shared" si="36"/>
        <v>261</v>
      </c>
      <c r="B296" s="7" t="s">
        <v>1300</v>
      </c>
      <c r="C296" s="7" t="s">
        <v>620</v>
      </c>
      <c r="D296" s="8" t="str">
        <f>INDEX('Summary by Assessment'!$C$5:$C$101,MATCH(C296,'Summary by Assessment'!$B$5:$B$101,0))</f>
        <v>Perth</v>
      </c>
      <c r="E296" s="9" t="s">
        <v>621</v>
      </c>
      <c r="F296" s="9" t="s">
        <v>170</v>
      </c>
      <c r="G296" s="9" t="s">
        <v>51</v>
      </c>
      <c r="H296" s="7" t="s">
        <v>614</v>
      </c>
      <c r="I296" s="7" t="s">
        <v>92</v>
      </c>
      <c r="J296" s="9" t="s">
        <v>1272</v>
      </c>
      <c r="K296" s="9" t="s">
        <v>307</v>
      </c>
      <c r="L296" s="9" t="s">
        <v>1272</v>
      </c>
      <c r="M296" s="10">
        <v>1</v>
      </c>
      <c r="N296" s="10">
        <v>1</v>
      </c>
      <c r="O296" s="7">
        <f t="shared" si="37"/>
        <v>1</v>
      </c>
      <c r="P296" s="7" t="str">
        <f>INDEX('Scales &amp; Matrix'!$B$13:$F$17,6-N296,M296)</f>
        <v>Very Low</v>
      </c>
      <c r="Q296" s="9" t="s">
        <v>1272</v>
      </c>
      <c r="R296" s="10">
        <v>1</v>
      </c>
      <c r="S296" s="10">
        <v>1</v>
      </c>
      <c r="T296" s="7">
        <f t="shared" si="38"/>
        <v>1</v>
      </c>
      <c r="U296" s="7" t="str">
        <f>INDEX('Scales &amp; Matrix'!$B$13:$F$17,6-S296,R296)</f>
        <v>Very Low</v>
      </c>
      <c r="V296" s="11">
        <f t="shared" si="39"/>
        <v>0</v>
      </c>
      <c r="W296" s="12">
        <f t="shared" si="40"/>
        <v>0</v>
      </c>
      <c r="X296" s="9" t="s">
        <v>1272</v>
      </c>
      <c r="Y296" s="7" t="s">
        <v>1234</v>
      </c>
      <c r="Z296" s="7" t="s">
        <v>1234</v>
      </c>
      <c r="AA296" s="9" t="str">
        <f t="shared" si="41"/>
        <v>Placeholder - no hazard entered on form.</v>
      </c>
      <c r="AB296" s="13">
        <f t="shared" si="42"/>
        <v>1019704</v>
      </c>
      <c r="AC296" s="13">
        <f t="shared" si="43"/>
        <v>1019704</v>
      </c>
      <c r="AD296" s="13">
        <f t="shared" si="44"/>
        <v>0</v>
      </c>
    </row>
    <row r="297" spans="1:30" ht="38.25" x14ac:dyDescent="0.25">
      <c r="A297" s="7">
        <f t="shared" si="36"/>
        <v>261</v>
      </c>
      <c r="B297" s="7" t="s">
        <v>1301</v>
      </c>
      <c r="C297" s="7" t="s">
        <v>410</v>
      </c>
      <c r="D297" s="8" t="str">
        <f>INDEX('Summary by Assessment'!$C$5:$C$101,MATCH(C297,'Summary by Assessment'!$B$5:$B$101,0))</f>
        <v>Perth</v>
      </c>
      <c r="E297" s="9" t="s">
        <v>411</v>
      </c>
      <c r="F297" s="9" t="s">
        <v>155</v>
      </c>
      <c r="G297" s="9" t="s">
        <v>51</v>
      </c>
      <c r="H297" s="7" t="s">
        <v>404</v>
      </c>
      <c r="I297" s="7" t="s">
        <v>92</v>
      </c>
      <c r="J297" s="9" t="s">
        <v>1272</v>
      </c>
      <c r="K297" s="9" t="s">
        <v>307</v>
      </c>
      <c r="L297" s="9" t="s">
        <v>1272</v>
      </c>
      <c r="M297" s="10">
        <v>1</v>
      </c>
      <c r="N297" s="10">
        <v>1</v>
      </c>
      <c r="O297" s="7">
        <f t="shared" si="37"/>
        <v>1</v>
      </c>
      <c r="P297" s="7" t="str">
        <f>INDEX('Scales &amp; Matrix'!$B$13:$F$17,6-N297,M297)</f>
        <v>Very Low</v>
      </c>
      <c r="Q297" s="9" t="s">
        <v>1272</v>
      </c>
      <c r="R297" s="10">
        <v>1</v>
      </c>
      <c r="S297" s="10">
        <v>1</v>
      </c>
      <c r="T297" s="7">
        <f t="shared" si="38"/>
        <v>1</v>
      </c>
      <c r="U297" s="7" t="str">
        <f>INDEX('Scales &amp; Matrix'!$B$13:$F$17,6-S297,R297)</f>
        <v>Very Low</v>
      </c>
      <c r="V297" s="11">
        <f t="shared" si="39"/>
        <v>0</v>
      </c>
      <c r="W297" s="12">
        <f t="shared" si="40"/>
        <v>0</v>
      </c>
      <c r="X297" s="9" t="s">
        <v>1272</v>
      </c>
      <c r="Y297" s="7" t="s">
        <v>1234</v>
      </c>
      <c r="Z297" s="7" t="s">
        <v>1234</v>
      </c>
      <c r="AA297" s="9" t="str">
        <f t="shared" si="41"/>
        <v>Placeholder - no hazard entered on form.</v>
      </c>
      <c r="AB297" s="13">
        <f t="shared" si="42"/>
        <v>1019703</v>
      </c>
      <c r="AC297" s="13">
        <f t="shared" si="43"/>
        <v>1019703</v>
      </c>
      <c r="AD297" s="13">
        <f t="shared" si="44"/>
        <v>0</v>
      </c>
    </row>
  </sheetData>
  <autoFilter ref="A4:AA297" xr:uid="{00000000-0009-0000-0000-000000000000}"/>
  <conditionalFormatting sqref="D5:D297">
    <cfRule type="expression" dxfId="1073" priority="13">
      <formula>D5="Fremantle"</formula>
    </cfRule>
  </conditionalFormatting>
  <conditionalFormatting sqref="O5:P297">
    <cfRule type="expression" dxfId="1072" priority="2">
      <formula>$P5="Critical"</formula>
    </cfRule>
    <cfRule type="expression" dxfId="1071" priority="3">
      <formula>$P5="High"</formula>
    </cfRule>
    <cfRule type="expression" dxfId="1070" priority="4">
      <formula>$P5="Moderate"</formula>
    </cfRule>
    <cfRule type="expression" dxfId="1069" priority="5">
      <formula>$P5="Low"</formula>
    </cfRule>
    <cfRule type="expression" dxfId="1068" priority="6">
      <formula>$P5="Very Low"</formula>
    </cfRule>
  </conditionalFormatting>
  <conditionalFormatting sqref="T5:U297">
    <cfRule type="expression" dxfId="1067" priority="7">
      <formula>$U5="Critical"</formula>
    </cfRule>
    <cfRule type="expression" dxfId="1066" priority="8">
      <formula>$U5="High"</formula>
    </cfRule>
    <cfRule type="expression" dxfId="1065" priority="9">
      <formula>$U5="Moderate"</formula>
    </cfRule>
    <cfRule type="expression" dxfId="1064" priority="10">
      <formula>$U5="Low"</formula>
    </cfRule>
    <cfRule type="expression" dxfId="1063" priority="11">
      <formula>$U5="Very Low"</formula>
    </cfRule>
  </conditionalFormatting>
  <conditionalFormatting sqref="AA5:AA297">
    <cfRule type="expression" dxfId="1062" priority="12">
      <formula>LEN(AA5)&gt;0</formula>
    </cfRule>
  </conditionalFormatting>
  <dataValidations count="1">
    <dataValidation type="whole" showErrorMessage="1" errorTitle="Score 1-5" error="Enter a whole number 1-5 (see Scales &amp; Matrix)." sqref="M5:N297 R5:S297" xr:uid="{00000000-0002-0000-0000-000000000000}">
      <formula1>1</formula1>
      <formula2>5</formula2>
    </dataValidation>
  </dataValidations>
  <pageMargins left="0.75" right="0.75" top="1" bottom="1" header="0.511811023622047" footer="0.511811023622047"/>
  <pageSetup paperSize="9"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35"/>
  <sheetViews>
    <sheetView zoomScale="80" zoomScaleNormal="80" workbookViewId="0">
      <pane ySplit="4" topLeftCell="A22" activePane="bottomLeft" state="frozen"/>
      <selection pane="bottomLeft"/>
    </sheetView>
  </sheetViews>
  <sheetFormatPr defaultColWidth="8.7109375" defaultRowHeight="15" x14ac:dyDescent="0.25"/>
  <cols>
    <col min="1" max="1" width="6" customWidth="1"/>
    <col min="2" max="3" width="13" hidden="1" customWidth="1"/>
    <col min="4" max="4" width="9" customWidth="1"/>
    <col min="5" max="5" width="11" customWidth="1"/>
    <col min="6" max="6" width="30" customWidth="1"/>
    <col min="7" max="7" width="40" customWidth="1"/>
    <col min="8" max="9" width="8" customWidth="1"/>
    <col min="10" max="10" width="9" customWidth="1"/>
    <col min="11" max="11" width="10" customWidth="1"/>
    <col min="12" max="12" width="50" customWidth="1"/>
    <col min="13" max="14" width="8" customWidth="1"/>
    <col min="15" max="15" width="9" customWidth="1"/>
    <col min="16" max="16" width="10" customWidth="1"/>
    <col min="17" max="17" width="9" customWidth="1"/>
    <col min="18" max="18" width="3" customWidth="1"/>
    <col min="19" max="19" width="20" customWidth="1"/>
    <col min="20" max="24" width="14" customWidth="1"/>
    <col min="27" max="31" width="13" hidden="1" customWidth="1"/>
  </cols>
  <sheetData>
    <row r="1" spans="1:17" ht="18" x14ac:dyDescent="0.25">
      <c r="A1" s="2" t="s">
        <v>1302</v>
      </c>
    </row>
    <row r="2" spans="1:17" x14ac:dyDescent="0.25">
      <c r="A2" s="3" t="s">
        <v>1303</v>
      </c>
    </row>
    <row r="4" spans="1:17" ht="36" customHeight="1" x14ac:dyDescent="0.25">
      <c r="A4" s="5" t="s">
        <v>1304</v>
      </c>
      <c r="B4" s="5" t="s">
        <v>1305</v>
      </c>
      <c r="C4" s="5" t="s">
        <v>1306</v>
      </c>
      <c r="D4" s="5" t="s">
        <v>4</v>
      </c>
      <c r="E4" s="5" t="s">
        <v>6</v>
      </c>
      <c r="F4" s="5" t="s">
        <v>1307</v>
      </c>
      <c r="G4" s="5" t="s">
        <v>1308</v>
      </c>
      <c r="H4" s="5" t="s">
        <v>1309</v>
      </c>
      <c r="I4" s="5" t="s">
        <v>1310</v>
      </c>
      <c r="J4" s="5" t="s">
        <v>17</v>
      </c>
      <c r="K4" s="5" t="s">
        <v>18</v>
      </c>
      <c r="L4" s="5" t="s">
        <v>19</v>
      </c>
      <c r="M4" s="5" t="s">
        <v>1311</v>
      </c>
      <c r="N4" s="5" t="s">
        <v>1312</v>
      </c>
      <c r="O4" s="5" t="s">
        <v>22</v>
      </c>
      <c r="P4" s="5" t="s">
        <v>23</v>
      </c>
      <c r="Q4" s="5" t="s">
        <v>24</v>
      </c>
    </row>
    <row r="5" spans="1:17" ht="75" customHeight="1" x14ac:dyDescent="0.25">
      <c r="A5" s="14">
        <v>1</v>
      </c>
      <c r="B5" s="7">
        <f>IFERROR(LARGE('Risk Register'!$AB$5:$AB$297,A5),0)</f>
        <v>12159995</v>
      </c>
      <c r="C5" s="7">
        <f>IF(B5&gt;0,MATCH(B5,'Risk Register'!$AB$5:$AB$297,0),0)</f>
        <v>1</v>
      </c>
      <c r="D5" s="14" t="str">
        <f>IF($C5=0,"",INDEX('Risk Register'!$B$5:$B$297,$C5))</f>
        <v>P36-C</v>
      </c>
      <c r="E5" s="7" t="str">
        <f>IF($C5=0,"",INDEX('Risk Register'!$D$5:$D$297,$C5))</f>
        <v>Perth</v>
      </c>
      <c r="F5" s="9" t="str">
        <f>IF($C5=0,"",INDEX('Risk Register'!$E$5:$E$297,$C5))</f>
        <v>School Event: Nursery Studio Easter Stay &amp; Play (National Reg. 101, 115, 167)</v>
      </c>
      <c r="G5" s="9" t="str">
        <f>IF($C5=0,"",INDEX('Risk Register'!$L$5:$L$297,$C5))</f>
        <v>Child eating the instruments and swallow some of the smaller bits on the musical instruments.</v>
      </c>
      <c r="H5" s="7">
        <f>IF($C5=0,"",INDEX('Risk Register'!$M$5:$M$297,$C5))</f>
        <v>5</v>
      </c>
      <c r="I5" s="7">
        <f>IF($C5=0,"",INDEX('Risk Register'!$N$5:$N$297,$C5))</f>
        <v>3</v>
      </c>
      <c r="J5" s="7">
        <f>IF($C5=0,"",INDEX('Risk Register'!$O$5:$O$297,$C5))</f>
        <v>15</v>
      </c>
      <c r="K5" s="7" t="str">
        <f>IF($C5=0,"",INDEX('Risk Register'!$P$5:$P$297,$C5))</f>
        <v>High</v>
      </c>
      <c r="L5" s="9" t="str">
        <f>IF($C5=0,"",INDEX('Risk Register'!$Q$5:$Q$297,$C5))</f>
        <v>Closely supervision and check instruments to see if any bits are close or a danger to the children</v>
      </c>
      <c r="M5" s="7">
        <f>IF($C5=0,"",INDEX('Risk Register'!$R$5:$R$297,$C5))</f>
        <v>4</v>
      </c>
      <c r="N5" s="7">
        <f>IF($C5=0,"",INDEX('Risk Register'!$S$5:$S$297,$C5))</f>
        <v>3</v>
      </c>
      <c r="O5" s="7">
        <f>IF($C5=0,"",INDEX('Risk Register'!$T$5:$T$297,$C5))</f>
        <v>12</v>
      </c>
      <c r="P5" s="7" t="str">
        <f>IF($C5=0,"",INDEX('Risk Register'!$U$5:$U$297,$C5))</f>
        <v>High</v>
      </c>
      <c r="Q5" s="11">
        <f>IF($C5=0,"",INDEX('Risk Register'!$V$5:$V$297,$C5))</f>
        <v>3</v>
      </c>
    </row>
    <row r="6" spans="1:17" ht="75" customHeight="1" x14ac:dyDescent="0.25">
      <c r="A6" s="14">
        <v>2</v>
      </c>
      <c r="B6" s="7">
        <f>IFERROR(LARGE('Risk Register'!$AB$5:$AB$297,A6),0)</f>
        <v>12129994</v>
      </c>
      <c r="C6" s="7">
        <f>IF(B6&gt;0,MATCH(B6,'Risk Register'!$AB$5:$AB$297,0),0)</f>
        <v>2</v>
      </c>
      <c r="D6" s="14" t="str">
        <f>IF($C6=0,"",INDEX('Risk Register'!$B$5:$B$297,$C6))</f>
        <v>F01-A</v>
      </c>
      <c r="E6" s="7" t="str">
        <f>IF($C6=0,"",INDEX('Risk Register'!$D$5:$D$297,$C6))</f>
        <v>Fremantle</v>
      </c>
      <c r="F6" s="9" t="str">
        <f>IF($C6=0,"",INDEX('Risk Register'!$E$5:$E$297,$C6))</f>
        <v>Administration of Medication (National Regulation 92 (Medication Record), Reg 93 (Administration), Reg 95 (Procedure), Reg 168(2)(v))</v>
      </c>
      <c r="G6" s="9" t="str">
        <f>IF($C6=0,"",INDEX('Risk Register'!$L$5:$L$297,$C6))</f>
        <v>Overdose, allergic reaction, or failure to treat condition.</v>
      </c>
      <c r="H6" s="7">
        <f>IF($C6=0,"",INDEX('Risk Register'!$M$5:$M$297,$C6))</f>
        <v>4</v>
      </c>
      <c r="I6" s="7">
        <f>IF($C6=0,"",INDEX('Risk Register'!$N$5:$N$297,$C6))</f>
        <v>3</v>
      </c>
      <c r="J6" s="7">
        <f>IF($C6=0,"",INDEX('Risk Register'!$O$5:$O$297,$C6))</f>
        <v>12</v>
      </c>
      <c r="K6" s="7" t="str">
        <f>IF($C6=0,"",INDEX('Risk Register'!$P$5:$P$297,$C6))</f>
        <v>High</v>
      </c>
      <c r="L6" s="9" t="str">
        <f>IF($C6=0,"",INDEX('Risk Register'!$Q$5:$Q$297,$C6))</f>
        <v>• Two-Person Check: Mandatory witness check of dosage, child’s name, medication name, and expiry before administration. • 5 Rights: Check: Right Child, Right Medication, Right Dose, Right Time, Right Route. • Original Container: Medication must be in original packaging with the pharmacy label (child’s name).</v>
      </c>
      <c r="M6" s="7">
        <f>IF($C6=0,"",INDEX('Risk Register'!$R$5:$R$297,$C6))</f>
        <v>4</v>
      </c>
      <c r="N6" s="7">
        <f>IF($C6=0,"",INDEX('Risk Register'!$S$5:$S$297,$C6))</f>
        <v>3</v>
      </c>
      <c r="O6" s="7">
        <f>IF($C6=0,"",INDEX('Risk Register'!$T$5:$T$297,$C6))</f>
        <v>12</v>
      </c>
      <c r="P6" s="7" t="str">
        <f>IF($C6=0,"",INDEX('Risk Register'!$U$5:$U$297,$C6))</f>
        <v>High</v>
      </c>
      <c r="Q6" s="11">
        <f>IF($C6=0,"",INDEX('Risk Register'!$V$5:$V$297,$C6))</f>
        <v>0</v>
      </c>
    </row>
    <row r="7" spans="1:17" ht="75" customHeight="1" x14ac:dyDescent="0.25">
      <c r="A7" s="14">
        <v>3</v>
      </c>
      <c r="B7" s="7">
        <f>IFERROR(LARGE('Risk Register'!$AB$5:$AB$297,A7),0)</f>
        <v>12129993</v>
      </c>
      <c r="C7" s="7">
        <f>IF(B7&gt;0,MATCH(B7,'Risk Register'!$AB$5:$AB$297,0),0)</f>
        <v>3</v>
      </c>
      <c r="D7" s="14" t="str">
        <f>IF($C7=0,"",INDEX('Risk Register'!$B$5:$B$297,$C7))</f>
        <v>P18-E</v>
      </c>
      <c r="E7" s="7" t="str">
        <f>IF($C7=0,"",INDEX('Risk Register'!$D$5:$D$297,$C7))</f>
        <v>Perth</v>
      </c>
      <c r="F7" s="9" t="str">
        <f>IF($C7=0,"",INDEX('Risk Register'!$E$5:$E$297,$C7))</f>
        <v>Incident: Missing Child / Absconding (National Regulation 99)</v>
      </c>
      <c r="G7" s="9" t="str">
        <f>IF($C7=0,"",INDEX('Risk Register'!$L$5:$L$297,$C7))</f>
        <v>Child lost / serious safety risk.</v>
      </c>
      <c r="H7" s="7">
        <f>IF($C7=0,"",INDEX('Risk Register'!$M$5:$M$297,$C7))</f>
        <v>4</v>
      </c>
      <c r="I7" s="7">
        <f>IF($C7=0,"",INDEX('Risk Register'!$N$5:$N$297,$C7))</f>
        <v>3</v>
      </c>
      <c r="J7" s="7">
        <f>IF($C7=0,"",INDEX('Risk Register'!$O$5:$O$297,$C7))</f>
        <v>12</v>
      </c>
      <c r="K7" s="7" t="str">
        <f>IF($C7=0,"",INDEX('Risk Register'!$P$5:$P$297,$C7))</f>
        <v>High</v>
      </c>
      <c r="L7" s="9" t="str">
        <f>IF($C7=0,"",INDEX('Risk Register'!$Q$5:$Q$297,$C7))</f>
        <v>Missing Child Procedure: 1. Alert Supervisor immediately., 2. Lockdown premises (nobody in/out). 3. Systematic search (rooms, cupboards, garden). 4. Call Police/Parents if not found within 60 minutes.</v>
      </c>
      <c r="M7" s="7">
        <f>IF($C7=0,"",INDEX('Risk Register'!$R$5:$R$297,$C7))</f>
        <v>4</v>
      </c>
      <c r="N7" s="7">
        <f>IF($C7=0,"",INDEX('Risk Register'!$S$5:$S$297,$C7))</f>
        <v>3</v>
      </c>
      <c r="O7" s="7">
        <f>IF($C7=0,"",INDEX('Risk Register'!$T$5:$T$297,$C7))</f>
        <v>12</v>
      </c>
      <c r="P7" s="7" t="str">
        <f>IF($C7=0,"",INDEX('Risk Register'!$U$5:$U$297,$C7))</f>
        <v>High</v>
      </c>
      <c r="Q7" s="11">
        <f>IF($C7=0,"",INDEX('Risk Register'!$V$5:$V$297,$C7))</f>
        <v>0</v>
      </c>
    </row>
    <row r="8" spans="1:17" ht="75" customHeight="1" x14ac:dyDescent="0.25">
      <c r="A8" s="14">
        <v>4</v>
      </c>
      <c r="B8" s="7">
        <f>IFERROR(LARGE('Risk Register'!$AB$5:$AB$297,A8),0)</f>
        <v>12099992</v>
      </c>
      <c r="C8" s="7">
        <f>IF(B8&gt;0,MATCH(B8,'Risk Register'!$AB$5:$AB$297,0),0)</f>
        <v>4</v>
      </c>
      <c r="D8" s="14" t="str">
        <f>IF($C8=0,"",INDEX('Risk Register'!$B$5:$B$297,$C8))</f>
        <v>F03-C</v>
      </c>
      <c r="E8" s="7" t="str">
        <f>IF($C8=0,"",INDEX('Risk Register'!$D$5:$D$297,$C8))</f>
        <v>Fremantle</v>
      </c>
      <c r="F8" s="9" t="str">
        <f>IF($C8=0,"",INDEX('Risk Register'!$E$5:$E$297,$C8))</f>
        <v>Child Protection &amp; Staff Conduct Risk Assessment Reg 84, 155 &amp; 68(2)(h)</v>
      </c>
      <c r="G8" s="9" t="str">
        <f>IF($C8=0,"",INDEX('Risk Register'!$L$5:$L$297,$C8))</f>
        <v>Emotional trauma, physical injury, breach of rights.</v>
      </c>
      <c r="H8" s="7">
        <f>IF($C8=0,"",INDEX('Risk Register'!$M$5:$M$297,$C8))</f>
        <v>3</v>
      </c>
      <c r="I8" s="7">
        <f>IF($C8=0,"",INDEX('Risk Register'!$N$5:$N$297,$C8))</f>
        <v>3</v>
      </c>
      <c r="J8" s="7">
        <f>IF($C8=0,"",INDEX('Risk Register'!$O$5:$O$297,$C8))</f>
        <v>9</v>
      </c>
      <c r="K8" s="7" t="str">
        <f>IF($C8=0,"",INDEX('Risk Register'!$P$5:$P$297,$C8))</f>
        <v>Moderate</v>
      </c>
      <c r="L8" s="9" t="str">
        <f>IF($C8=0,"",INDEX('Risk Register'!$Q$5:$Q$297,$C8))</f>
        <v>The "Interactions with Children" policy prohibits corporal punishment, isolation, and shaming. Room Leaders monitor the language and tone of educators. Staff must immediately report colleague misconduct to the Approved Provider. A culture of reporting is encouraged; staff are urged to promptly report any misconduct to the Approved Provider.</v>
      </c>
      <c r="M8" s="7">
        <f>IF($C8=0,"",INDEX('Risk Register'!$R$5:$R$297,$C8))</f>
        <v>4</v>
      </c>
      <c r="N8" s="7">
        <f>IF($C8=0,"",INDEX('Risk Register'!$S$5:$S$297,$C8))</f>
        <v>3</v>
      </c>
      <c r="O8" s="7">
        <f>IF($C8=0,"",INDEX('Risk Register'!$T$5:$T$297,$C8))</f>
        <v>12</v>
      </c>
      <c r="P8" s="7" t="str">
        <f>IF($C8=0,"",INDEX('Risk Register'!$U$5:$U$297,$C8))</f>
        <v>High</v>
      </c>
      <c r="Q8" s="11">
        <f>IF($C8=0,"",INDEX('Risk Register'!$V$5:$V$297,$C8))</f>
        <v>-3</v>
      </c>
    </row>
    <row r="9" spans="1:17" ht="75" customHeight="1" x14ac:dyDescent="0.25">
      <c r="A9" s="14">
        <v>5</v>
      </c>
      <c r="B9" s="7">
        <f>IFERROR(LARGE('Risk Register'!$AB$5:$AB$297,A9),0)</f>
        <v>12099991</v>
      </c>
      <c r="C9" s="7">
        <f>IF(B9&gt;0,MATCH(B9,'Risk Register'!$AB$5:$AB$297,0),0)</f>
        <v>5</v>
      </c>
      <c r="D9" s="14" t="str">
        <f>IF($C9=0,"",INDEX('Risk Register'!$B$5:$B$297,$C9))</f>
        <v>P05-C</v>
      </c>
      <c r="E9" s="7" t="str">
        <f>IF($C9=0,"",INDEX('Risk Register'!$D$5:$D$297,$C9))</f>
        <v>Perth</v>
      </c>
      <c r="F9" s="9" t="str">
        <f>IF($C9=0,"",INDEX('Risk Register'!$E$5:$E$297,$C9))</f>
        <v>Child Protection &amp; Staff Conduct Risk Assessment Reg 84, 155 &amp; 68(2)(h)</v>
      </c>
      <c r="G9" s="9" t="str">
        <f>IF($C9=0,"",INDEX('Risk Register'!$L$5:$L$297,$C9))</f>
        <v>Emotional trauma, physical injury, breach of rights.</v>
      </c>
      <c r="H9" s="7">
        <f>IF($C9=0,"",INDEX('Risk Register'!$M$5:$M$297,$C9))</f>
        <v>3</v>
      </c>
      <c r="I9" s="7">
        <f>IF($C9=0,"",INDEX('Risk Register'!$N$5:$N$297,$C9))</f>
        <v>3</v>
      </c>
      <c r="J9" s="7">
        <f>IF($C9=0,"",INDEX('Risk Register'!$O$5:$O$297,$C9))</f>
        <v>9</v>
      </c>
      <c r="K9" s="7" t="str">
        <f>IF($C9=0,"",INDEX('Risk Register'!$P$5:$P$297,$C9))</f>
        <v>Moderate</v>
      </c>
      <c r="L9" s="9" t="str">
        <f>IF($C9=0,"",INDEX('Risk Register'!$Q$5:$Q$297,$C9))</f>
        <v>The "Interactions with Children" policy prohibits corporal punishment, isolation, and shaming. Room Leaders monitor the language and tone of educators. Staff must immediately report colleague misconduct to the Approved Provider. A culture of reporting is encouraged; staff are urged to promptly report any misconduct to the Approved Provider.</v>
      </c>
      <c r="M9" s="7">
        <f>IF($C9=0,"",INDEX('Risk Register'!$R$5:$R$297,$C9))</f>
        <v>4</v>
      </c>
      <c r="N9" s="7">
        <f>IF($C9=0,"",INDEX('Risk Register'!$S$5:$S$297,$C9))</f>
        <v>3</v>
      </c>
      <c r="O9" s="7">
        <f>IF($C9=0,"",INDEX('Risk Register'!$T$5:$T$297,$C9))</f>
        <v>12</v>
      </c>
      <c r="P9" s="7" t="str">
        <f>IF($C9=0,"",INDEX('Risk Register'!$U$5:$U$297,$C9))</f>
        <v>High</v>
      </c>
      <c r="Q9" s="11">
        <f>IF($C9=0,"",INDEX('Risk Register'!$V$5:$V$297,$C9))</f>
        <v>-3</v>
      </c>
    </row>
    <row r="10" spans="1:17" ht="75" customHeight="1" x14ac:dyDescent="0.25">
      <c r="A10" s="14">
        <v>6</v>
      </c>
      <c r="B10" s="7">
        <f>IFERROR(LARGE('Risk Register'!$AB$5:$AB$297,A10),0)</f>
        <v>10159990</v>
      </c>
      <c r="C10" s="7">
        <f>IF(B10&gt;0,MATCH(B10,'Risk Register'!$AB$5:$AB$297,0),0)</f>
        <v>6</v>
      </c>
      <c r="D10" s="14" t="str">
        <f>IF($C10=0,"",INDEX('Risk Register'!$B$5:$B$297,$C10))</f>
        <v>F09-A</v>
      </c>
      <c r="E10" s="7" t="str">
        <f>IF($C10=0,"",INDEX('Risk Register'!$D$5:$D$297,$C10))</f>
        <v>Fremantle</v>
      </c>
      <c r="F10" s="9" t="str">
        <f>IF($C10=0,"",INDEX('Risk Register'!$E$5:$E$297,$C10))</f>
        <v>Food Safety, Handling &amp; Nutrition (National Regulation 77 (Health &amp; Hygiene)), 77 and 79)</v>
      </c>
      <c r="G10" s="9" t="str">
        <f>IF($C10=0,"",INDEX('Risk Register'!$L$5:$L$297,$C10))</f>
        <v>Severe allergic reaction or death due to cross-contamination.</v>
      </c>
      <c r="H10" s="7">
        <f>IF($C10=0,"",INDEX('Risk Register'!$M$5:$M$297,$C10))</f>
        <v>5</v>
      </c>
      <c r="I10" s="7">
        <f>IF($C10=0,"",INDEX('Risk Register'!$N$5:$N$297,$C10))</f>
        <v>3</v>
      </c>
      <c r="J10" s="7">
        <f>IF($C10=0,"",INDEX('Risk Register'!$O$5:$O$297,$C10))</f>
        <v>15</v>
      </c>
      <c r="K10" s="7" t="str">
        <f>IF($C10=0,"",INDEX('Risk Register'!$P$5:$P$297,$C10))</f>
        <v>High</v>
      </c>
      <c r="L10" s="9" t="str">
        <f>IF($C10=0,"",INDEX('Risk Register'!$Q$5:$Q$297,$C10))</f>
        <v>• Allergy Lists: Current dietary list displayed in kitchen (out of public view but visible to staff). • Separate Prep: Separate chopping boards/utensils for allergy meals. Allergy meals plated and covered first. • No Nut Policy: Strict prohibition of nuts (monitor lunchboxes if families provide food).</v>
      </c>
      <c r="M10" s="7">
        <f>IF($C10=0,"",INDEX('Risk Register'!$R$5:$R$297,$C10))</f>
        <v>5</v>
      </c>
      <c r="N10" s="7">
        <f>IF($C10=0,"",INDEX('Risk Register'!$S$5:$S$297,$C10))</f>
        <v>2</v>
      </c>
      <c r="O10" s="7">
        <f>IF($C10=0,"",INDEX('Risk Register'!$T$5:$T$297,$C10))</f>
        <v>10</v>
      </c>
      <c r="P10" s="7" t="str">
        <f>IF($C10=0,"",INDEX('Risk Register'!$U$5:$U$297,$C10))</f>
        <v>High</v>
      </c>
      <c r="Q10" s="11">
        <f>IF($C10=0,"",INDEX('Risk Register'!$V$5:$V$297,$C10))</f>
        <v>5</v>
      </c>
    </row>
    <row r="11" spans="1:17" ht="75" customHeight="1" x14ac:dyDescent="0.25">
      <c r="A11" s="14">
        <v>7</v>
      </c>
      <c r="B11" s="7">
        <f>IFERROR(LARGE('Risk Register'!$AB$5:$AB$297,A11),0)</f>
        <v>10159989</v>
      </c>
      <c r="C11" s="7">
        <f>IF(B11&gt;0,MATCH(B11,'Risk Register'!$AB$5:$AB$297,0),0)</f>
        <v>7</v>
      </c>
      <c r="D11" s="14" t="str">
        <f>IF($C11=0,"",INDEX('Risk Register'!$B$5:$B$297,$C11))</f>
        <v>F24-B</v>
      </c>
      <c r="E11" s="7" t="str">
        <f>IF($C11=0,"",INDEX('Risk Register'!$D$5:$D$297,$C11))</f>
        <v>Fremantle</v>
      </c>
      <c r="F11" s="9" t="str">
        <f>IF($C11=0,"",INDEX('Risk Register'!$E$5:$E$297,$C11))</f>
        <v>Risk assessment for Medical Drill/ Actual Incident (National Reg 89, 90, 168)</v>
      </c>
      <c r="G11" s="9" t="str">
        <f>IF($C11=0,"",INDEX('Risk Register'!$L$5:$L$297,$C11))</f>
        <v>Incorrect response; risk of worsening condition</v>
      </c>
      <c r="H11" s="7">
        <f>IF($C11=0,"",INDEX('Risk Register'!$M$5:$M$297,$C11))</f>
        <v>5</v>
      </c>
      <c r="I11" s="7">
        <f>IF($C11=0,"",INDEX('Risk Register'!$N$5:$N$297,$C11))</f>
        <v>3</v>
      </c>
      <c r="J11" s="7">
        <f>IF($C11=0,"",INDEX('Risk Register'!$O$5:$O$297,$C11))</f>
        <v>15</v>
      </c>
      <c r="K11" s="7" t="str">
        <f>IF($C11=0,"",INDEX('Risk Register'!$P$5:$P$297,$C11))</f>
        <v>High</v>
      </c>
      <c r="L11" s="9" t="str">
        <f>IF($C11=0,"",INDEX('Risk Register'!$Q$5:$Q$297,$C11))</f>
        <v>Trained first aiders; CPR/EpiPen training; first aid kits readily available</v>
      </c>
      <c r="M11" s="7">
        <f>IF($C11=0,"",INDEX('Risk Register'!$R$5:$R$297,$C11))</f>
        <v>5</v>
      </c>
      <c r="N11" s="7">
        <f>IF($C11=0,"",INDEX('Risk Register'!$S$5:$S$297,$C11))</f>
        <v>2</v>
      </c>
      <c r="O11" s="7">
        <f>IF($C11=0,"",INDEX('Risk Register'!$T$5:$T$297,$C11))</f>
        <v>10</v>
      </c>
      <c r="P11" s="7" t="str">
        <f>IF($C11=0,"",INDEX('Risk Register'!$U$5:$U$297,$C11))</f>
        <v>High</v>
      </c>
      <c r="Q11" s="11">
        <f>IF($C11=0,"",INDEX('Risk Register'!$V$5:$V$297,$C11))</f>
        <v>5</v>
      </c>
    </row>
    <row r="12" spans="1:17" ht="75" customHeight="1" x14ac:dyDescent="0.25">
      <c r="A12" s="14">
        <v>8</v>
      </c>
      <c r="B12" s="7">
        <f>IFERROR(LARGE('Risk Register'!$AB$5:$AB$297,A12),0)</f>
        <v>10159988</v>
      </c>
      <c r="C12" s="7">
        <f>IF(B12&gt;0,MATCH(B12,'Risk Register'!$AB$5:$AB$297,0),0)</f>
        <v>8</v>
      </c>
      <c r="D12" s="14" t="str">
        <f>IF($C12=0,"",INDEX('Risk Register'!$B$5:$B$297,$C12))</f>
        <v>F28-C</v>
      </c>
      <c r="E12" s="7" t="str">
        <f>IF($C12=0,"",INDEX('Risk Register'!$D$5:$D$297,$C12))</f>
        <v>Fremantle</v>
      </c>
      <c r="F12" s="9" t="str">
        <f>IF($C12=0,"",INDEX('Risk Register'!$E$5:$E$297,$C12))</f>
        <v>Serious Incident, Damage or Reportable Event (National Reg 167 &amp; 174, 175, 176)</v>
      </c>
      <c r="G12" s="9" t="str">
        <f>IF($C12=0,"",INDEX('Risk Register'!$L$5:$L$297,$C12))</f>
        <v>Exposure to threat; children moving unsupervised; risk of injury</v>
      </c>
      <c r="H12" s="7">
        <f>IF($C12=0,"",INDEX('Risk Register'!$M$5:$M$297,$C12))</f>
        <v>5</v>
      </c>
      <c r="I12" s="7">
        <f>IF($C12=0,"",INDEX('Risk Register'!$N$5:$N$297,$C12))</f>
        <v>3</v>
      </c>
      <c r="J12" s="7">
        <f>IF($C12=0,"",INDEX('Risk Register'!$O$5:$O$297,$C12))</f>
        <v>15</v>
      </c>
      <c r="K12" s="7" t="str">
        <f>IF($C12=0,"",INDEX('Risk Register'!$P$5:$P$297,$C12))</f>
        <v>High</v>
      </c>
      <c r="L12" s="9" t="str">
        <f>IF($C12=0,"",INDEX('Risk Register'!$Q$5:$Q$297,$C12))</f>
        <v>Staff guide children to safe areas; minimise movement; clear procedure for gathering in secure rooms</v>
      </c>
      <c r="M12" s="7">
        <f>IF($C12=0,"",INDEX('Risk Register'!$R$5:$R$297,$C12))</f>
        <v>5</v>
      </c>
      <c r="N12" s="7">
        <f>IF($C12=0,"",INDEX('Risk Register'!$S$5:$S$297,$C12))</f>
        <v>2</v>
      </c>
      <c r="O12" s="7">
        <f>IF($C12=0,"",INDEX('Risk Register'!$T$5:$T$297,$C12))</f>
        <v>10</v>
      </c>
      <c r="P12" s="7" t="str">
        <f>IF($C12=0,"",INDEX('Risk Register'!$U$5:$U$297,$C12))</f>
        <v>High</v>
      </c>
      <c r="Q12" s="11">
        <f>IF($C12=0,"",INDEX('Risk Register'!$V$5:$V$297,$C12))</f>
        <v>5</v>
      </c>
    </row>
    <row r="13" spans="1:17" ht="75" customHeight="1" x14ac:dyDescent="0.25">
      <c r="A13" s="14">
        <v>9</v>
      </c>
      <c r="B13" s="7">
        <f>IFERROR(LARGE('Risk Register'!$AB$5:$AB$297,A13),0)</f>
        <v>10159987</v>
      </c>
      <c r="C13" s="7">
        <f>IF(B13&gt;0,MATCH(B13,'Risk Register'!$AB$5:$AB$297,0),0)</f>
        <v>9</v>
      </c>
      <c r="D13" s="14" t="str">
        <f>IF($C13=0,"",INDEX('Risk Register'!$B$5:$B$297,$C13))</f>
        <v>F31-B</v>
      </c>
      <c r="E13" s="7" t="str">
        <f>IF($C13=0,"",INDEX('Risk Register'!$D$5:$D$297,$C13))</f>
        <v>Fremantle</v>
      </c>
      <c r="F13" s="9" t="str">
        <f>IF($C13=0,"",INDEX('Risk Register'!$E$5:$E$297,$C13))</f>
        <v>Someone Getting Hurt (Child or Adult) (NQF National Reg. 167, 168, 175) - Adult WHS (Reg 12)</v>
      </c>
      <c r="G13" s="9" t="str">
        <f>IF($C13=0,"",INDEX('Risk Register'!$L$5:$L$297,$C13))</f>
        <v>Incorrect response; risk of worsening condition</v>
      </c>
      <c r="H13" s="7">
        <f>IF($C13=0,"",INDEX('Risk Register'!$M$5:$M$297,$C13))</f>
        <v>5</v>
      </c>
      <c r="I13" s="7">
        <f>IF($C13=0,"",INDEX('Risk Register'!$N$5:$N$297,$C13))</f>
        <v>3</v>
      </c>
      <c r="J13" s="7">
        <f>IF($C13=0,"",INDEX('Risk Register'!$O$5:$O$297,$C13))</f>
        <v>15</v>
      </c>
      <c r="K13" s="7" t="str">
        <f>IF($C13=0,"",INDEX('Risk Register'!$P$5:$P$297,$C13))</f>
        <v>High</v>
      </c>
      <c r="L13" s="9" t="str">
        <f>IF($C13=0,"",INDEX('Risk Register'!$Q$5:$Q$297,$C13))</f>
        <v>Trained first aiders; CPR/EpiPen training; first aid kits readily available</v>
      </c>
      <c r="M13" s="7">
        <f>IF($C13=0,"",INDEX('Risk Register'!$R$5:$R$297,$C13))</f>
        <v>5</v>
      </c>
      <c r="N13" s="7">
        <f>IF($C13=0,"",INDEX('Risk Register'!$S$5:$S$297,$C13))</f>
        <v>2</v>
      </c>
      <c r="O13" s="7">
        <f>IF($C13=0,"",INDEX('Risk Register'!$T$5:$T$297,$C13))</f>
        <v>10</v>
      </c>
      <c r="P13" s="7" t="str">
        <f>IF($C13=0,"",INDEX('Risk Register'!$U$5:$U$297,$C13))</f>
        <v>High</v>
      </c>
      <c r="Q13" s="11">
        <f>IF($C13=0,"",INDEX('Risk Register'!$V$5:$V$297,$C13))</f>
        <v>5</v>
      </c>
    </row>
    <row r="14" spans="1:17" ht="75" customHeight="1" x14ac:dyDescent="0.25">
      <c r="A14" s="14">
        <v>10</v>
      </c>
      <c r="B14" s="7">
        <f>IFERROR(LARGE('Risk Register'!$AB$5:$AB$297,A14),0)</f>
        <v>10159986</v>
      </c>
      <c r="C14" s="7">
        <f>IF(B14&gt;0,MATCH(B14,'Risk Register'!$AB$5:$AB$297,0),0)</f>
        <v>10</v>
      </c>
      <c r="D14" s="14" t="str">
        <f>IF($C14=0,"",INDEX('Risk Register'!$B$5:$B$297,$C14))</f>
        <v>P15-E</v>
      </c>
      <c r="E14" s="7" t="str">
        <f>IF($C14=0,"",INDEX('Risk Register'!$D$5:$D$297,$C14))</f>
        <v>Perth</v>
      </c>
      <c r="F14" s="9" t="str">
        <f>IF($C14=0,"",INDEX('Risk Register'!$E$5:$E$297,$C14))</f>
        <v>Fire Evacuation Risk Assessment (National Reg 97, 158)</v>
      </c>
      <c r="G14" s="9" t="str">
        <f>IF($C14=0,"",INDEX('Risk Register'!$L$5:$L$297,$C14))</f>
        <v>Individuals with mobility, sensory, or medical needs unable to evacuate safely</v>
      </c>
      <c r="H14" s="7">
        <f>IF($C14=0,"",INDEX('Risk Register'!$M$5:$M$297,$C14))</f>
        <v>5</v>
      </c>
      <c r="I14" s="7">
        <f>IF($C14=0,"",INDEX('Risk Register'!$N$5:$N$297,$C14))</f>
        <v>3</v>
      </c>
      <c r="J14" s="7">
        <f>IF($C14=0,"",INDEX('Risk Register'!$O$5:$O$297,$C14))</f>
        <v>15</v>
      </c>
      <c r="K14" s="7" t="str">
        <f>IF($C14=0,"",INDEX('Risk Register'!$P$5:$P$297,$C14))</f>
        <v>High</v>
      </c>
      <c r="L14" s="9" t="str">
        <f>IF($C14=0,"",INDEX('Risk Register'!$Q$5:$Q$297,$C14))</f>
        <v>Individual evacuation plans / assigned helpers; evacuation chairs/refuge areas; training for staff</v>
      </c>
      <c r="M14" s="7">
        <f>IF($C14=0,"",INDEX('Risk Register'!$R$5:$R$297,$C14))</f>
        <v>5</v>
      </c>
      <c r="N14" s="7">
        <f>IF($C14=0,"",INDEX('Risk Register'!$S$5:$S$297,$C14))</f>
        <v>2</v>
      </c>
      <c r="O14" s="7">
        <f>IF($C14=0,"",INDEX('Risk Register'!$T$5:$T$297,$C14))</f>
        <v>10</v>
      </c>
      <c r="P14" s="7" t="str">
        <f>IF($C14=0,"",INDEX('Risk Register'!$U$5:$U$297,$C14))</f>
        <v>High</v>
      </c>
      <c r="Q14" s="11">
        <f>IF($C14=0,"",INDEX('Risk Register'!$V$5:$V$297,$C14))</f>
        <v>5</v>
      </c>
    </row>
    <row r="16" spans="1:17" x14ac:dyDescent="0.25">
      <c r="A16" s="15" t="str">
        <f>IF(O14="","",IF(COUNTIF('Risk Register'!$T$5:$T$297,O14)-COUNTIF(O5:O14,O14)&gt;0,COUNTIF('Risk Register'!$T$5:$T$297,O14)-COUNTIF(O5:O14,O14)&amp;" other hazard(s) also have a residual score of "&amp;O14&amp;" - see the Risk Register. Cut-off within that score is by inherent score then register order.",""))</f>
        <v>6 other hazard(s) also have a residual score of 10 - see the Risk Register. Cut-off within that score is by inherent score then register order.</v>
      </c>
    </row>
    <row r="18" spans="1:31" ht="15.75" x14ac:dyDescent="0.25">
      <c r="A18" s="16" t="s">
        <v>1313</v>
      </c>
      <c r="S18" s="16" t="s">
        <v>1314</v>
      </c>
    </row>
    <row r="19" spans="1:31" x14ac:dyDescent="0.25">
      <c r="S19" s="17" t="s">
        <v>1315</v>
      </c>
    </row>
    <row r="20" spans="1:31" ht="25.5" x14ac:dyDescent="0.25">
      <c r="S20" s="18" t="s">
        <v>1316</v>
      </c>
      <c r="T20" s="19" t="str">
        <f>'Scales &amp; Matrix'!B5&amp;" ("&amp;1&amp;")"</f>
        <v>Insignificant (1)</v>
      </c>
      <c r="U20" s="19" t="str">
        <f>'Scales &amp; Matrix'!B6&amp;" ("&amp;2&amp;")"</f>
        <v>Minor (2)</v>
      </c>
      <c r="V20" s="19" t="str">
        <f>'Scales &amp; Matrix'!B7&amp;" ("&amp;3&amp;")"</f>
        <v>Moderate (3)</v>
      </c>
      <c r="W20" s="19" t="str">
        <f>'Scales &amp; Matrix'!B8&amp;" ("&amp;4&amp;")"</f>
        <v>Significant (4)</v>
      </c>
      <c r="X20" s="19" t="str">
        <f>'Scales &amp; Matrix'!B9&amp;" ("&amp;5&amp;")"</f>
        <v>Major (5)</v>
      </c>
      <c r="AA20" t="str">
        <f>'Scales &amp; Matrix'!B13</f>
        <v>Moderate</v>
      </c>
      <c r="AB20" t="str">
        <f>'Scales &amp; Matrix'!C13</f>
        <v>Moderate</v>
      </c>
      <c r="AC20" t="str">
        <f>'Scales &amp; Matrix'!D13</f>
        <v>High</v>
      </c>
      <c r="AD20" t="str">
        <f>'Scales &amp; Matrix'!E13</f>
        <v>Critical</v>
      </c>
      <c r="AE20" t="str">
        <f>'Scales &amp; Matrix'!F13</f>
        <v>Critical</v>
      </c>
    </row>
    <row r="21" spans="1:31" ht="37.5" customHeight="1" x14ac:dyDescent="0.25">
      <c r="S21" s="19" t="str">
        <f>'Scales &amp; Matrix'!E9&amp;" ("&amp;5&amp;")"</f>
        <v>Almost Certain (5)</v>
      </c>
      <c r="T21" s="20" t="str">
        <f>TRIM(IF(AND($H$5=1,$I$5=5),$D$5&amp;" ","")&amp;IF(AND($H$6=1,$I$6=5),$D$6&amp;" ","")&amp;IF(AND($H$7=1,$I$7=5),$D$7&amp;" ","")&amp;IF(AND($H$8=1,$I$8=5),$D$8&amp;" ","")&amp;IF(AND($H$9=1,$I$9=5),$D$9&amp;" ","")&amp;IF(AND($H$10=1,$I$10=5),$D$10&amp;" ","")&amp;IF(AND($H$11=1,$I$11=5),$D$11&amp;" ","")&amp;IF(AND($H$12=1,$I$12=5),$D$12&amp;" ","")&amp;IF(AND($H$13=1,$I$13=5),$D$13&amp;" ","")&amp;IF(AND($H$14=1,$I$14=5),$D$14&amp;" ",""))</f>
        <v/>
      </c>
      <c r="U21" s="20" t="str">
        <f>TRIM(IF(AND($H$5=2,$I$5=5),$D$5&amp;" ","")&amp;IF(AND($H$6=2,$I$6=5),$D$6&amp;" ","")&amp;IF(AND($H$7=2,$I$7=5),$D$7&amp;" ","")&amp;IF(AND($H$8=2,$I$8=5),$D$8&amp;" ","")&amp;IF(AND($H$9=2,$I$9=5),$D$9&amp;" ","")&amp;IF(AND($H$10=2,$I$10=5),$D$10&amp;" ","")&amp;IF(AND($H$11=2,$I$11=5),$D$11&amp;" ","")&amp;IF(AND($H$12=2,$I$12=5),$D$12&amp;" ","")&amp;IF(AND($H$13=2,$I$13=5),$D$13&amp;" ","")&amp;IF(AND($H$14=2,$I$14=5),$D$14&amp;" ",""))</f>
        <v/>
      </c>
      <c r="V21" s="20" t="str">
        <f>TRIM(IF(AND($H$5=3,$I$5=5),$D$5&amp;" ","")&amp;IF(AND($H$6=3,$I$6=5),$D$6&amp;" ","")&amp;IF(AND($H$7=3,$I$7=5),$D$7&amp;" ","")&amp;IF(AND($H$8=3,$I$8=5),$D$8&amp;" ","")&amp;IF(AND($H$9=3,$I$9=5),$D$9&amp;" ","")&amp;IF(AND($H$10=3,$I$10=5),$D$10&amp;" ","")&amp;IF(AND($H$11=3,$I$11=5),$D$11&amp;" ","")&amp;IF(AND($H$12=3,$I$12=5),$D$12&amp;" ","")&amp;IF(AND($H$13=3,$I$13=5),$D$13&amp;" ","")&amp;IF(AND($H$14=3,$I$14=5),$D$14&amp;" ",""))</f>
        <v/>
      </c>
      <c r="W21" s="20" t="str">
        <f>TRIM(IF(AND($H$5=4,$I$5=5),$D$5&amp;" ","")&amp;IF(AND($H$6=4,$I$6=5),$D$6&amp;" ","")&amp;IF(AND($H$7=4,$I$7=5),$D$7&amp;" ","")&amp;IF(AND($H$8=4,$I$8=5),$D$8&amp;" ","")&amp;IF(AND($H$9=4,$I$9=5),$D$9&amp;" ","")&amp;IF(AND($H$10=4,$I$10=5),$D$10&amp;" ","")&amp;IF(AND($H$11=4,$I$11=5),$D$11&amp;" ","")&amp;IF(AND($H$12=4,$I$12=5),$D$12&amp;" ","")&amp;IF(AND($H$13=4,$I$13=5),$D$13&amp;" ","")&amp;IF(AND($H$14=4,$I$14=5),$D$14&amp;" ",""))</f>
        <v/>
      </c>
      <c r="X21" s="20" t="str">
        <f>TRIM(IF(AND($H$5=5,$I$5=5),$D$5&amp;" ","")&amp;IF(AND($H$6=5,$I$6=5),$D$6&amp;" ","")&amp;IF(AND($H$7=5,$I$7=5),$D$7&amp;" ","")&amp;IF(AND($H$8=5,$I$8=5),$D$8&amp;" ","")&amp;IF(AND($H$9=5,$I$9=5),$D$9&amp;" ","")&amp;IF(AND($H$10=5,$I$10=5),$D$10&amp;" ","")&amp;IF(AND($H$11=5,$I$11=5),$D$11&amp;" ","")&amp;IF(AND($H$12=5,$I$12=5),$D$12&amp;" ","")&amp;IF(AND($H$13=5,$I$13=5),$D$13&amp;" ","")&amp;IF(AND($H$14=5,$I$14=5),$D$14&amp;" ",""))</f>
        <v/>
      </c>
      <c r="AA21" t="str">
        <f>'Scales &amp; Matrix'!B14</f>
        <v>Moderate</v>
      </c>
      <c r="AB21" t="str">
        <f>'Scales &amp; Matrix'!C14</f>
        <v>Moderate</v>
      </c>
      <c r="AC21" t="str">
        <f>'Scales &amp; Matrix'!D14</f>
        <v>High</v>
      </c>
      <c r="AD21" t="str">
        <f>'Scales &amp; Matrix'!E14</f>
        <v>High</v>
      </c>
      <c r="AE21" t="str">
        <f>'Scales &amp; Matrix'!F14</f>
        <v>Critical</v>
      </c>
    </row>
    <row r="22" spans="1:31" ht="37.5" customHeight="1" x14ac:dyDescent="0.25">
      <c r="S22" s="19" t="str">
        <f>'Scales &amp; Matrix'!E8&amp;" ("&amp;4&amp;")"</f>
        <v>Likely (4)</v>
      </c>
      <c r="T22" s="20" t="str">
        <f>TRIM(IF(AND($H$5=1,$I$5=4),$D$5&amp;" ","")&amp;IF(AND($H$6=1,$I$6=4),$D$6&amp;" ","")&amp;IF(AND($H$7=1,$I$7=4),$D$7&amp;" ","")&amp;IF(AND($H$8=1,$I$8=4),$D$8&amp;" ","")&amp;IF(AND($H$9=1,$I$9=4),$D$9&amp;" ","")&amp;IF(AND($H$10=1,$I$10=4),$D$10&amp;" ","")&amp;IF(AND($H$11=1,$I$11=4),$D$11&amp;" ","")&amp;IF(AND($H$12=1,$I$12=4),$D$12&amp;" ","")&amp;IF(AND($H$13=1,$I$13=4),$D$13&amp;" ","")&amp;IF(AND($H$14=1,$I$14=4),$D$14&amp;" ",""))</f>
        <v/>
      </c>
      <c r="U22" s="20" t="str">
        <f>TRIM(IF(AND($H$5=2,$I$5=4),$D$5&amp;" ","")&amp;IF(AND($H$6=2,$I$6=4),$D$6&amp;" ","")&amp;IF(AND($H$7=2,$I$7=4),$D$7&amp;" ","")&amp;IF(AND($H$8=2,$I$8=4),$D$8&amp;" ","")&amp;IF(AND($H$9=2,$I$9=4),$D$9&amp;" ","")&amp;IF(AND($H$10=2,$I$10=4),$D$10&amp;" ","")&amp;IF(AND($H$11=2,$I$11=4),$D$11&amp;" ","")&amp;IF(AND($H$12=2,$I$12=4),$D$12&amp;" ","")&amp;IF(AND($H$13=2,$I$13=4),$D$13&amp;" ","")&amp;IF(AND($H$14=2,$I$14=4),$D$14&amp;" ",""))</f>
        <v/>
      </c>
      <c r="V22" s="20" t="str">
        <f>TRIM(IF(AND($H$5=3,$I$5=4),$D$5&amp;" ","")&amp;IF(AND($H$6=3,$I$6=4),$D$6&amp;" ","")&amp;IF(AND($H$7=3,$I$7=4),$D$7&amp;" ","")&amp;IF(AND($H$8=3,$I$8=4),$D$8&amp;" ","")&amp;IF(AND($H$9=3,$I$9=4),$D$9&amp;" ","")&amp;IF(AND($H$10=3,$I$10=4),$D$10&amp;" ","")&amp;IF(AND($H$11=3,$I$11=4),$D$11&amp;" ","")&amp;IF(AND($H$12=3,$I$12=4),$D$12&amp;" ","")&amp;IF(AND($H$13=3,$I$13=4),$D$13&amp;" ","")&amp;IF(AND($H$14=3,$I$14=4),$D$14&amp;" ",""))</f>
        <v/>
      </c>
      <c r="W22" s="20" t="str">
        <f>TRIM(IF(AND($H$5=4,$I$5=4),$D$5&amp;" ","")&amp;IF(AND($H$6=4,$I$6=4),$D$6&amp;" ","")&amp;IF(AND($H$7=4,$I$7=4),$D$7&amp;" ","")&amp;IF(AND($H$8=4,$I$8=4),$D$8&amp;" ","")&amp;IF(AND($H$9=4,$I$9=4),$D$9&amp;" ","")&amp;IF(AND($H$10=4,$I$10=4),$D$10&amp;" ","")&amp;IF(AND($H$11=4,$I$11=4),$D$11&amp;" ","")&amp;IF(AND($H$12=4,$I$12=4),$D$12&amp;" ","")&amp;IF(AND($H$13=4,$I$13=4),$D$13&amp;" ","")&amp;IF(AND($H$14=4,$I$14=4),$D$14&amp;" ",""))</f>
        <v/>
      </c>
      <c r="X22" s="20" t="str">
        <f>TRIM(IF(AND($H$5=5,$I$5=4),$D$5&amp;" ","")&amp;IF(AND($H$6=5,$I$6=4),$D$6&amp;" ","")&amp;IF(AND($H$7=5,$I$7=4),$D$7&amp;" ","")&amp;IF(AND($H$8=5,$I$8=4),$D$8&amp;" ","")&amp;IF(AND($H$9=5,$I$9=4),$D$9&amp;" ","")&amp;IF(AND($H$10=5,$I$10=4),$D$10&amp;" ","")&amp;IF(AND($H$11=5,$I$11=4),$D$11&amp;" ","")&amp;IF(AND($H$12=5,$I$12=4),$D$12&amp;" ","")&amp;IF(AND($H$13=5,$I$13=4),$D$13&amp;" ","")&amp;IF(AND($H$14=5,$I$14=4),$D$14&amp;" ",""))</f>
        <v/>
      </c>
      <c r="AA22" t="str">
        <f>'Scales &amp; Matrix'!B15</f>
        <v>Low</v>
      </c>
      <c r="AB22" t="str">
        <f>'Scales &amp; Matrix'!C15</f>
        <v>Moderate</v>
      </c>
      <c r="AC22" t="str">
        <f>'Scales &amp; Matrix'!D15</f>
        <v>Moderate</v>
      </c>
      <c r="AD22" t="str">
        <f>'Scales &amp; Matrix'!E15</f>
        <v>High</v>
      </c>
      <c r="AE22" t="str">
        <f>'Scales &amp; Matrix'!F15</f>
        <v>High</v>
      </c>
    </row>
    <row r="23" spans="1:31" ht="37.5" customHeight="1" x14ac:dyDescent="0.25">
      <c r="S23" s="19" t="str">
        <f>'Scales &amp; Matrix'!E7&amp;" ("&amp;3&amp;")"</f>
        <v>Possible (3)</v>
      </c>
      <c r="T23" s="20" t="str">
        <f>TRIM(IF(AND($H$5=1,$I$5=3),$D$5&amp;" ","")&amp;IF(AND($H$6=1,$I$6=3),$D$6&amp;" ","")&amp;IF(AND($H$7=1,$I$7=3),$D$7&amp;" ","")&amp;IF(AND($H$8=1,$I$8=3),$D$8&amp;" ","")&amp;IF(AND($H$9=1,$I$9=3),$D$9&amp;" ","")&amp;IF(AND($H$10=1,$I$10=3),$D$10&amp;" ","")&amp;IF(AND($H$11=1,$I$11=3),$D$11&amp;" ","")&amp;IF(AND($H$12=1,$I$12=3),$D$12&amp;" ","")&amp;IF(AND($H$13=1,$I$13=3),$D$13&amp;" ","")&amp;IF(AND($H$14=1,$I$14=3),$D$14&amp;" ",""))</f>
        <v/>
      </c>
      <c r="U23" s="20" t="str">
        <f>TRIM(IF(AND($H$5=2,$I$5=3),$D$5&amp;" ","")&amp;IF(AND($H$6=2,$I$6=3),$D$6&amp;" ","")&amp;IF(AND($H$7=2,$I$7=3),$D$7&amp;" ","")&amp;IF(AND($H$8=2,$I$8=3),$D$8&amp;" ","")&amp;IF(AND($H$9=2,$I$9=3),$D$9&amp;" ","")&amp;IF(AND($H$10=2,$I$10=3),$D$10&amp;" ","")&amp;IF(AND($H$11=2,$I$11=3),$D$11&amp;" ","")&amp;IF(AND($H$12=2,$I$12=3),$D$12&amp;" ","")&amp;IF(AND($H$13=2,$I$13=3),$D$13&amp;" ","")&amp;IF(AND($H$14=2,$I$14=3),$D$14&amp;" ",""))</f>
        <v/>
      </c>
      <c r="V23" s="20" t="str">
        <f>TRIM(IF(AND($H$5=3,$I$5=3),$D$5&amp;" ","")&amp;IF(AND($H$6=3,$I$6=3),$D$6&amp;" ","")&amp;IF(AND($H$7=3,$I$7=3),$D$7&amp;" ","")&amp;IF(AND($H$8=3,$I$8=3),$D$8&amp;" ","")&amp;IF(AND($H$9=3,$I$9=3),$D$9&amp;" ","")&amp;IF(AND($H$10=3,$I$10=3),$D$10&amp;" ","")&amp;IF(AND($H$11=3,$I$11=3),$D$11&amp;" ","")&amp;IF(AND($H$12=3,$I$12=3),$D$12&amp;" ","")&amp;IF(AND($H$13=3,$I$13=3),$D$13&amp;" ","")&amp;IF(AND($H$14=3,$I$14=3),$D$14&amp;" ",""))</f>
        <v>F03-C P05-C</v>
      </c>
      <c r="W23" s="20" t="str">
        <f>TRIM(IF(AND($H$5=4,$I$5=3),$D$5&amp;" ","")&amp;IF(AND($H$6=4,$I$6=3),$D$6&amp;" ","")&amp;IF(AND($H$7=4,$I$7=3),$D$7&amp;" ","")&amp;IF(AND($H$8=4,$I$8=3),$D$8&amp;" ","")&amp;IF(AND($H$9=4,$I$9=3),$D$9&amp;" ","")&amp;IF(AND($H$10=4,$I$10=3),$D$10&amp;" ","")&amp;IF(AND($H$11=4,$I$11=3),$D$11&amp;" ","")&amp;IF(AND($H$12=4,$I$12=3),$D$12&amp;" ","")&amp;IF(AND($H$13=4,$I$13=3),$D$13&amp;" ","")&amp;IF(AND($H$14=4,$I$14=3),$D$14&amp;" ",""))</f>
        <v>F01-A P18-E</v>
      </c>
      <c r="X23" s="20" t="str">
        <f>TRIM(IF(AND($H$5=5,$I$5=3),$D$5&amp;" ","")&amp;IF(AND($H$6=5,$I$6=3),$D$6&amp;" ","")&amp;IF(AND($H$7=5,$I$7=3),$D$7&amp;" ","")&amp;IF(AND($H$8=5,$I$8=3),$D$8&amp;" ","")&amp;IF(AND($H$9=5,$I$9=3),$D$9&amp;" ","")&amp;IF(AND($H$10=5,$I$10=3),$D$10&amp;" ","")&amp;IF(AND($H$11=5,$I$11=3),$D$11&amp;" ","")&amp;IF(AND($H$12=5,$I$12=3),$D$12&amp;" ","")&amp;IF(AND($H$13=5,$I$13=3),$D$13&amp;" ","")&amp;IF(AND($H$14=5,$I$14=3),$D$14&amp;" ",""))</f>
        <v>P36-C F09-A F24-B F28-C F31-B P15-E</v>
      </c>
      <c r="AA23" t="str">
        <f>'Scales &amp; Matrix'!B16</f>
        <v>Very Low</v>
      </c>
      <c r="AB23" t="str">
        <f>'Scales &amp; Matrix'!C16</f>
        <v>Low</v>
      </c>
      <c r="AC23" t="str">
        <f>'Scales &amp; Matrix'!D16</f>
        <v>Moderate</v>
      </c>
      <c r="AD23" t="str">
        <f>'Scales &amp; Matrix'!E16</f>
        <v>Moderate</v>
      </c>
      <c r="AE23" t="str">
        <f>'Scales &amp; Matrix'!F16</f>
        <v>High</v>
      </c>
    </row>
    <row r="24" spans="1:31" ht="37.5" customHeight="1" x14ac:dyDescent="0.25">
      <c r="S24" s="19" t="str">
        <f>'Scales &amp; Matrix'!E6&amp;" ("&amp;2&amp;")"</f>
        <v>Unlikely (2)</v>
      </c>
      <c r="T24" s="20" t="str">
        <f>TRIM(IF(AND($H$5=1,$I$5=2),$D$5&amp;" ","")&amp;IF(AND($H$6=1,$I$6=2),$D$6&amp;" ","")&amp;IF(AND($H$7=1,$I$7=2),$D$7&amp;" ","")&amp;IF(AND($H$8=1,$I$8=2),$D$8&amp;" ","")&amp;IF(AND($H$9=1,$I$9=2),$D$9&amp;" ","")&amp;IF(AND($H$10=1,$I$10=2),$D$10&amp;" ","")&amp;IF(AND($H$11=1,$I$11=2),$D$11&amp;" ","")&amp;IF(AND($H$12=1,$I$12=2),$D$12&amp;" ","")&amp;IF(AND($H$13=1,$I$13=2),$D$13&amp;" ","")&amp;IF(AND($H$14=1,$I$14=2),$D$14&amp;" ",""))</f>
        <v/>
      </c>
      <c r="U24" s="20" t="str">
        <f>TRIM(IF(AND($H$5=2,$I$5=2),$D$5&amp;" ","")&amp;IF(AND($H$6=2,$I$6=2),$D$6&amp;" ","")&amp;IF(AND($H$7=2,$I$7=2),$D$7&amp;" ","")&amp;IF(AND($H$8=2,$I$8=2),$D$8&amp;" ","")&amp;IF(AND($H$9=2,$I$9=2),$D$9&amp;" ","")&amp;IF(AND($H$10=2,$I$10=2),$D$10&amp;" ","")&amp;IF(AND($H$11=2,$I$11=2),$D$11&amp;" ","")&amp;IF(AND($H$12=2,$I$12=2),$D$12&amp;" ","")&amp;IF(AND($H$13=2,$I$13=2),$D$13&amp;" ","")&amp;IF(AND($H$14=2,$I$14=2),$D$14&amp;" ",""))</f>
        <v/>
      </c>
      <c r="V24" s="20" t="str">
        <f>TRIM(IF(AND($H$5=3,$I$5=2),$D$5&amp;" ","")&amp;IF(AND($H$6=3,$I$6=2),$D$6&amp;" ","")&amp;IF(AND($H$7=3,$I$7=2),$D$7&amp;" ","")&amp;IF(AND($H$8=3,$I$8=2),$D$8&amp;" ","")&amp;IF(AND($H$9=3,$I$9=2),$D$9&amp;" ","")&amp;IF(AND($H$10=3,$I$10=2),$D$10&amp;" ","")&amp;IF(AND($H$11=3,$I$11=2),$D$11&amp;" ","")&amp;IF(AND($H$12=3,$I$12=2),$D$12&amp;" ","")&amp;IF(AND($H$13=3,$I$13=2),$D$13&amp;" ","")&amp;IF(AND($H$14=3,$I$14=2),$D$14&amp;" ",""))</f>
        <v/>
      </c>
      <c r="W24" s="20" t="str">
        <f>TRIM(IF(AND($H$5=4,$I$5=2),$D$5&amp;" ","")&amp;IF(AND($H$6=4,$I$6=2),$D$6&amp;" ","")&amp;IF(AND($H$7=4,$I$7=2),$D$7&amp;" ","")&amp;IF(AND($H$8=4,$I$8=2),$D$8&amp;" ","")&amp;IF(AND($H$9=4,$I$9=2),$D$9&amp;" ","")&amp;IF(AND($H$10=4,$I$10=2),$D$10&amp;" ","")&amp;IF(AND($H$11=4,$I$11=2),$D$11&amp;" ","")&amp;IF(AND($H$12=4,$I$12=2),$D$12&amp;" ","")&amp;IF(AND($H$13=4,$I$13=2),$D$13&amp;" ","")&amp;IF(AND($H$14=4,$I$14=2),$D$14&amp;" ",""))</f>
        <v/>
      </c>
      <c r="X24" s="20" t="str">
        <f>TRIM(IF(AND($H$5=5,$I$5=2),$D$5&amp;" ","")&amp;IF(AND($H$6=5,$I$6=2),$D$6&amp;" ","")&amp;IF(AND($H$7=5,$I$7=2),$D$7&amp;" ","")&amp;IF(AND($H$8=5,$I$8=2),$D$8&amp;" ","")&amp;IF(AND($H$9=5,$I$9=2),$D$9&amp;" ","")&amp;IF(AND($H$10=5,$I$10=2),$D$10&amp;" ","")&amp;IF(AND($H$11=5,$I$11=2),$D$11&amp;" ","")&amp;IF(AND($H$12=5,$I$12=2),$D$12&amp;" ","")&amp;IF(AND($H$13=5,$I$13=2),$D$13&amp;" ","")&amp;IF(AND($H$14=5,$I$14=2),$D$14&amp;" ",""))</f>
        <v/>
      </c>
      <c r="AA24" t="str">
        <f>'Scales &amp; Matrix'!B17</f>
        <v>Very Low</v>
      </c>
      <c r="AB24" t="str">
        <f>'Scales &amp; Matrix'!C17</f>
        <v>Very Low</v>
      </c>
      <c r="AC24" t="str">
        <f>'Scales &amp; Matrix'!D17</f>
        <v>Low</v>
      </c>
      <c r="AD24" t="str">
        <f>'Scales &amp; Matrix'!E17</f>
        <v>Moderate</v>
      </c>
      <c r="AE24" t="str">
        <f>'Scales &amp; Matrix'!F17</f>
        <v>Moderate</v>
      </c>
    </row>
    <row r="25" spans="1:31" ht="37.5" customHeight="1" x14ac:dyDescent="0.25">
      <c r="S25" s="19" t="str">
        <f>'Scales &amp; Matrix'!E5&amp;" ("&amp;1&amp;")"</f>
        <v>Rare (1)</v>
      </c>
      <c r="T25" s="20" t="str">
        <f>TRIM(IF(AND($H$5=1,$I$5=1),$D$5&amp;" ","")&amp;IF(AND($H$6=1,$I$6=1),$D$6&amp;" ","")&amp;IF(AND($H$7=1,$I$7=1),$D$7&amp;" ","")&amp;IF(AND($H$8=1,$I$8=1),$D$8&amp;" ","")&amp;IF(AND($H$9=1,$I$9=1),$D$9&amp;" ","")&amp;IF(AND($H$10=1,$I$10=1),$D$10&amp;" ","")&amp;IF(AND($H$11=1,$I$11=1),$D$11&amp;" ","")&amp;IF(AND($H$12=1,$I$12=1),$D$12&amp;" ","")&amp;IF(AND($H$13=1,$I$13=1),$D$13&amp;" ","")&amp;IF(AND($H$14=1,$I$14=1),$D$14&amp;" ",""))</f>
        <v/>
      </c>
      <c r="U25" s="20" t="str">
        <f>TRIM(IF(AND($H$5=2,$I$5=1),$D$5&amp;" ","")&amp;IF(AND($H$6=2,$I$6=1),$D$6&amp;" ","")&amp;IF(AND($H$7=2,$I$7=1),$D$7&amp;" ","")&amp;IF(AND($H$8=2,$I$8=1),$D$8&amp;" ","")&amp;IF(AND($H$9=2,$I$9=1),$D$9&amp;" ","")&amp;IF(AND($H$10=2,$I$10=1),$D$10&amp;" ","")&amp;IF(AND($H$11=2,$I$11=1),$D$11&amp;" ","")&amp;IF(AND($H$12=2,$I$12=1),$D$12&amp;" ","")&amp;IF(AND($H$13=2,$I$13=1),$D$13&amp;" ","")&amp;IF(AND($H$14=2,$I$14=1),$D$14&amp;" ",""))</f>
        <v/>
      </c>
      <c r="V25" s="20" t="str">
        <f>TRIM(IF(AND($H$5=3,$I$5=1),$D$5&amp;" ","")&amp;IF(AND($H$6=3,$I$6=1),$D$6&amp;" ","")&amp;IF(AND($H$7=3,$I$7=1),$D$7&amp;" ","")&amp;IF(AND($H$8=3,$I$8=1),$D$8&amp;" ","")&amp;IF(AND($H$9=3,$I$9=1),$D$9&amp;" ","")&amp;IF(AND($H$10=3,$I$10=1),$D$10&amp;" ","")&amp;IF(AND($H$11=3,$I$11=1),$D$11&amp;" ","")&amp;IF(AND($H$12=3,$I$12=1),$D$12&amp;" ","")&amp;IF(AND($H$13=3,$I$13=1),$D$13&amp;" ","")&amp;IF(AND($H$14=3,$I$14=1),$D$14&amp;" ",""))</f>
        <v/>
      </c>
      <c r="W25" s="20" t="str">
        <f>TRIM(IF(AND($H$5=4,$I$5=1),$D$5&amp;" ","")&amp;IF(AND($H$6=4,$I$6=1),$D$6&amp;" ","")&amp;IF(AND($H$7=4,$I$7=1),$D$7&amp;" ","")&amp;IF(AND($H$8=4,$I$8=1),$D$8&amp;" ","")&amp;IF(AND($H$9=4,$I$9=1),$D$9&amp;" ","")&amp;IF(AND($H$10=4,$I$10=1),$D$10&amp;" ","")&amp;IF(AND($H$11=4,$I$11=1),$D$11&amp;" ","")&amp;IF(AND($H$12=4,$I$12=1),$D$12&amp;" ","")&amp;IF(AND($H$13=4,$I$13=1),$D$13&amp;" ","")&amp;IF(AND($H$14=4,$I$14=1),$D$14&amp;" ",""))</f>
        <v/>
      </c>
      <c r="X25" s="20" t="str">
        <f>TRIM(IF(AND($H$5=5,$I$5=1),$D$5&amp;" ","")&amp;IF(AND($H$6=5,$I$6=1),$D$6&amp;" ","")&amp;IF(AND($H$7=5,$I$7=1),$D$7&amp;" ","")&amp;IF(AND($H$8=5,$I$8=1),$D$8&amp;" ","")&amp;IF(AND($H$9=5,$I$9=1),$D$9&amp;" ","")&amp;IF(AND($H$10=5,$I$10=1),$D$10&amp;" ","")&amp;IF(AND($H$11=5,$I$11=1),$D$11&amp;" ","")&amp;IF(AND($H$12=5,$I$12=1),$D$12&amp;" ","")&amp;IF(AND($H$13=5,$I$13=1),$D$13&amp;" ","")&amp;IF(AND($H$14=5,$I$14=1),$D$14&amp;" ",""))</f>
        <v/>
      </c>
    </row>
    <row r="27" spans="1:31" x14ac:dyDescent="0.25">
      <c r="S27" s="17" t="s">
        <v>1317</v>
      </c>
    </row>
    <row r="28" spans="1:31" ht="25.5" x14ac:dyDescent="0.25">
      <c r="S28" s="18" t="s">
        <v>1316</v>
      </c>
      <c r="T28" s="19" t="str">
        <f>'Scales &amp; Matrix'!B5&amp;" ("&amp;1&amp;")"</f>
        <v>Insignificant (1)</v>
      </c>
      <c r="U28" s="19" t="str">
        <f>'Scales &amp; Matrix'!B6&amp;" ("&amp;2&amp;")"</f>
        <v>Minor (2)</v>
      </c>
      <c r="V28" s="19" t="str">
        <f>'Scales &amp; Matrix'!B7&amp;" ("&amp;3&amp;")"</f>
        <v>Moderate (3)</v>
      </c>
      <c r="W28" s="19" t="str">
        <f>'Scales &amp; Matrix'!B8&amp;" ("&amp;4&amp;")"</f>
        <v>Significant (4)</v>
      </c>
      <c r="X28" s="19" t="str">
        <f>'Scales &amp; Matrix'!B9&amp;" ("&amp;5&amp;")"</f>
        <v>Major (5)</v>
      </c>
    </row>
    <row r="29" spans="1:31" ht="37.5" customHeight="1" x14ac:dyDescent="0.25">
      <c r="S29" s="19" t="str">
        <f>'Scales &amp; Matrix'!E9&amp;" ("&amp;5&amp;")"</f>
        <v>Almost Certain (5)</v>
      </c>
      <c r="T29" s="20" t="str">
        <f>TRIM(IF(AND($M$5=1,$N$5=5),$D$5&amp;" ","")&amp;IF(AND($M$6=1,$N$6=5),$D$6&amp;" ","")&amp;IF(AND($M$7=1,$N$7=5),$D$7&amp;" ","")&amp;IF(AND($M$8=1,$N$8=5),$D$8&amp;" ","")&amp;IF(AND($M$9=1,$N$9=5),$D$9&amp;" ","")&amp;IF(AND($M$10=1,$N$10=5),$D$10&amp;" ","")&amp;IF(AND($M$11=1,$N$11=5),$D$11&amp;" ","")&amp;IF(AND($M$12=1,$N$12=5),$D$12&amp;" ","")&amp;IF(AND($M$13=1,$N$13=5),$D$13&amp;" ","")&amp;IF(AND($M$14=1,$N$14=5),$D$14&amp;" ",""))</f>
        <v/>
      </c>
      <c r="U29" s="20" t="str">
        <f>TRIM(IF(AND($M$5=2,$N$5=5),$D$5&amp;" ","")&amp;IF(AND($M$6=2,$N$6=5),$D$6&amp;" ","")&amp;IF(AND($M$7=2,$N$7=5),$D$7&amp;" ","")&amp;IF(AND($M$8=2,$N$8=5),$D$8&amp;" ","")&amp;IF(AND($M$9=2,$N$9=5),$D$9&amp;" ","")&amp;IF(AND($M$10=2,$N$10=5),$D$10&amp;" ","")&amp;IF(AND($M$11=2,$N$11=5),$D$11&amp;" ","")&amp;IF(AND($M$12=2,$N$12=5),$D$12&amp;" ","")&amp;IF(AND($M$13=2,$N$13=5),$D$13&amp;" ","")&amp;IF(AND($M$14=2,$N$14=5),$D$14&amp;" ",""))</f>
        <v/>
      </c>
      <c r="V29" s="20" t="str">
        <f>TRIM(IF(AND($M$5=3,$N$5=5),$D$5&amp;" ","")&amp;IF(AND($M$6=3,$N$6=5),$D$6&amp;" ","")&amp;IF(AND($M$7=3,$N$7=5),$D$7&amp;" ","")&amp;IF(AND($M$8=3,$N$8=5),$D$8&amp;" ","")&amp;IF(AND($M$9=3,$N$9=5),$D$9&amp;" ","")&amp;IF(AND($M$10=3,$N$10=5),$D$10&amp;" ","")&amp;IF(AND($M$11=3,$N$11=5),$D$11&amp;" ","")&amp;IF(AND($M$12=3,$N$12=5),$D$12&amp;" ","")&amp;IF(AND($M$13=3,$N$13=5),$D$13&amp;" ","")&amp;IF(AND($M$14=3,$N$14=5),$D$14&amp;" ",""))</f>
        <v/>
      </c>
      <c r="W29" s="20" t="str">
        <f>TRIM(IF(AND($M$5=4,$N$5=5),$D$5&amp;" ","")&amp;IF(AND($M$6=4,$N$6=5),$D$6&amp;" ","")&amp;IF(AND($M$7=4,$N$7=5),$D$7&amp;" ","")&amp;IF(AND($M$8=4,$N$8=5),$D$8&amp;" ","")&amp;IF(AND($M$9=4,$N$9=5),$D$9&amp;" ","")&amp;IF(AND($M$10=4,$N$10=5),$D$10&amp;" ","")&amp;IF(AND($M$11=4,$N$11=5),$D$11&amp;" ","")&amp;IF(AND($M$12=4,$N$12=5),$D$12&amp;" ","")&amp;IF(AND($M$13=4,$N$13=5),$D$13&amp;" ","")&amp;IF(AND($M$14=4,$N$14=5),$D$14&amp;" ",""))</f>
        <v/>
      </c>
      <c r="X29" s="20" t="str">
        <f>TRIM(IF(AND($M$5=5,$N$5=5),$D$5&amp;" ","")&amp;IF(AND($M$6=5,$N$6=5),$D$6&amp;" ","")&amp;IF(AND($M$7=5,$N$7=5),$D$7&amp;" ","")&amp;IF(AND($M$8=5,$N$8=5),$D$8&amp;" ","")&amp;IF(AND($M$9=5,$N$9=5),$D$9&amp;" ","")&amp;IF(AND($M$10=5,$N$10=5),$D$10&amp;" ","")&amp;IF(AND($M$11=5,$N$11=5),$D$11&amp;" ","")&amp;IF(AND($M$12=5,$N$12=5),$D$12&amp;" ","")&amp;IF(AND($M$13=5,$N$13=5),$D$13&amp;" ","")&amp;IF(AND($M$14=5,$N$14=5),$D$14&amp;" ",""))</f>
        <v/>
      </c>
    </row>
    <row r="30" spans="1:31" ht="37.5" customHeight="1" x14ac:dyDescent="0.25">
      <c r="S30" s="19" t="str">
        <f>'Scales &amp; Matrix'!E8&amp;" ("&amp;4&amp;")"</f>
        <v>Likely (4)</v>
      </c>
      <c r="T30" s="20" t="str">
        <f>TRIM(IF(AND($M$5=1,$N$5=4),$D$5&amp;" ","")&amp;IF(AND($M$6=1,$N$6=4),$D$6&amp;" ","")&amp;IF(AND($M$7=1,$N$7=4),$D$7&amp;" ","")&amp;IF(AND($M$8=1,$N$8=4),$D$8&amp;" ","")&amp;IF(AND($M$9=1,$N$9=4),$D$9&amp;" ","")&amp;IF(AND($M$10=1,$N$10=4),$D$10&amp;" ","")&amp;IF(AND($M$11=1,$N$11=4),$D$11&amp;" ","")&amp;IF(AND($M$12=1,$N$12=4),$D$12&amp;" ","")&amp;IF(AND($M$13=1,$N$13=4),$D$13&amp;" ","")&amp;IF(AND($M$14=1,$N$14=4),$D$14&amp;" ",""))</f>
        <v/>
      </c>
      <c r="U30" s="20" t="str">
        <f>TRIM(IF(AND($M$5=2,$N$5=4),$D$5&amp;" ","")&amp;IF(AND($M$6=2,$N$6=4),$D$6&amp;" ","")&amp;IF(AND($M$7=2,$N$7=4),$D$7&amp;" ","")&amp;IF(AND($M$8=2,$N$8=4),$D$8&amp;" ","")&amp;IF(AND($M$9=2,$N$9=4),$D$9&amp;" ","")&amp;IF(AND($M$10=2,$N$10=4),$D$10&amp;" ","")&amp;IF(AND($M$11=2,$N$11=4),$D$11&amp;" ","")&amp;IF(AND($M$12=2,$N$12=4),$D$12&amp;" ","")&amp;IF(AND($M$13=2,$N$13=4),$D$13&amp;" ","")&amp;IF(AND($M$14=2,$N$14=4),$D$14&amp;" ",""))</f>
        <v/>
      </c>
      <c r="V30" s="20" t="str">
        <f>TRIM(IF(AND($M$5=3,$N$5=4),$D$5&amp;" ","")&amp;IF(AND($M$6=3,$N$6=4),$D$6&amp;" ","")&amp;IF(AND($M$7=3,$N$7=4),$D$7&amp;" ","")&amp;IF(AND($M$8=3,$N$8=4),$D$8&amp;" ","")&amp;IF(AND($M$9=3,$N$9=4),$D$9&amp;" ","")&amp;IF(AND($M$10=3,$N$10=4),$D$10&amp;" ","")&amp;IF(AND($M$11=3,$N$11=4),$D$11&amp;" ","")&amp;IF(AND($M$12=3,$N$12=4),$D$12&amp;" ","")&amp;IF(AND($M$13=3,$N$13=4),$D$13&amp;" ","")&amp;IF(AND($M$14=3,$N$14=4),$D$14&amp;" ",""))</f>
        <v/>
      </c>
      <c r="W30" s="20" t="str">
        <f>TRIM(IF(AND($M$5=4,$N$5=4),$D$5&amp;" ","")&amp;IF(AND($M$6=4,$N$6=4),$D$6&amp;" ","")&amp;IF(AND($M$7=4,$N$7=4),$D$7&amp;" ","")&amp;IF(AND($M$8=4,$N$8=4),$D$8&amp;" ","")&amp;IF(AND($M$9=4,$N$9=4),$D$9&amp;" ","")&amp;IF(AND($M$10=4,$N$10=4),$D$10&amp;" ","")&amp;IF(AND($M$11=4,$N$11=4),$D$11&amp;" ","")&amp;IF(AND($M$12=4,$N$12=4),$D$12&amp;" ","")&amp;IF(AND($M$13=4,$N$13=4),$D$13&amp;" ","")&amp;IF(AND($M$14=4,$N$14=4),$D$14&amp;" ",""))</f>
        <v/>
      </c>
      <c r="X30" s="20" t="str">
        <f>TRIM(IF(AND($M$5=5,$N$5=4),$D$5&amp;" ","")&amp;IF(AND($M$6=5,$N$6=4),$D$6&amp;" ","")&amp;IF(AND($M$7=5,$N$7=4),$D$7&amp;" ","")&amp;IF(AND($M$8=5,$N$8=4),$D$8&amp;" ","")&amp;IF(AND($M$9=5,$N$9=4),$D$9&amp;" ","")&amp;IF(AND($M$10=5,$N$10=4),$D$10&amp;" ","")&amp;IF(AND($M$11=5,$N$11=4),$D$11&amp;" ","")&amp;IF(AND($M$12=5,$N$12=4),$D$12&amp;" ","")&amp;IF(AND($M$13=5,$N$13=4),$D$13&amp;" ","")&amp;IF(AND($M$14=5,$N$14=4),$D$14&amp;" ",""))</f>
        <v/>
      </c>
    </row>
    <row r="31" spans="1:31" ht="37.5" customHeight="1" x14ac:dyDescent="0.25">
      <c r="S31" s="19" t="str">
        <f>'Scales &amp; Matrix'!E7&amp;" ("&amp;3&amp;")"</f>
        <v>Possible (3)</v>
      </c>
      <c r="T31" s="20" t="str">
        <f>TRIM(IF(AND($M$5=1,$N$5=3),$D$5&amp;" ","")&amp;IF(AND($M$6=1,$N$6=3),$D$6&amp;" ","")&amp;IF(AND($M$7=1,$N$7=3),$D$7&amp;" ","")&amp;IF(AND($M$8=1,$N$8=3),$D$8&amp;" ","")&amp;IF(AND($M$9=1,$N$9=3),$D$9&amp;" ","")&amp;IF(AND($M$10=1,$N$10=3),$D$10&amp;" ","")&amp;IF(AND($M$11=1,$N$11=3),$D$11&amp;" ","")&amp;IF(AND($M$12=1,$N$12=3),$D$12&amp;" ","")&amp;IF(AND($M$13=1,$N$13=3),$D$13&amp;" ","")&amp;IF(AND($M$14=1,$N$14=3),$D$14&amp;" ",""))</f>
        <v/>
      </c>
      <c r="U31" s="20" t="str">
        <f>TRIM(IF(AND($M$5=2,$N$5=3),$D$5&amp;" ","")&amp;IF(AND($M$6=2,$N$6=3),$D$6&amp;" ","")&amp;IF(AND($M$7=2,$N$7=3),$D$7&amp;" ","")&amp;IF(AND($M$8=2,$N$8=3),$D$8&amp;" ","")&amp;IF(AND($M$9=2,$N$9=3),$D$9&amp;" ","")&amp;IF(AND($M$10=2,$N$10=3),$D$10&amp;" ","")&amp;IF(AND($M$11=2,$N$11=3),$D$11&amp;" ","")&amp;IF(AND($M$12=2,$N$12=3),$D$12&amp;" ","")&amp;IF(AND($M$13=2,$N$13=3),$D$13&amp;" ","")&amp;IF(AND($M$14=2,$N$14=3),$D$14&amp;" ",""))</f>
        <v/>
      </c>
      <c r="V31" s="20" t="str">
        <f>TRIM(IF(AND($M$5=3,$N$5=3),$D$5&amp;" ","")&amp;IF(AND($M$6=3,$N$6=3),$D$6&amp;" ","")&amp;IF(AND($M$7=3,$N$7=3),$D$7&amp;" ","")&amp;IF(AND($M$8=3,$N$8=3),$D$8&amp;" ","")&amp;IF(AND($M$9=3,$N$9=3),$D$9&amp;" ","")&amp;IF(AND($M$10=3,$N$10=3),$D$10&amp;" ","")&amp;IF(AND($M$11=3,$N$11=3),$D$11&amp;" ","")&amp;IF(AND($M$12=3,$N$12=3),$D$12&amp;" ","")&amp;IF(AND($M$13=3,$N$13=3),$D$13&amp;" ","")&amp;IF(AND($M$14=3,$N$14=3),$D$14&amp;" ",""))</f>
        <v/>
      </c>
      <c r="W31" s="20" t="str">
        <f>TRIM(IF(AND($M$5=4,$N$5=3),$D$5&amp;" ","")&amp;IF(AND($M$6=4,$N$6=3),$D$6&amp;" ","")&amp;IF(AND($M$7=4,$N$7=3),$D$7&amp;" ","")&amp;IF(AND($M$8=4,$N$8=3),$D$8&amp;" ","")&amp;IF(AND($M$9=4,$N$9=3),$D$9&amp;" ","")&amp;IF(AND($M$10=4,$N$10=3),$D$10&amp;" ","")&amp;IF(AND($M$11=4,$N$11=3),$D$11&amp;" ","")&amp;IF(AND($M$12=4,$N$12=3),$D$12&amp;" ","")&amp;IF(AND($M$13=4,$N$13=3),$D$13&amp;" ","")&amp;IF(AND($M$14=4,$N$14=3),$D$14&amp;" ",""))</f>
        <v>P36-C F01-A P18-E F03-C P05-C</v>
      </c>
      <c r="X31" s="20" t="str">
        <f>TRIM(IF(AND($M$5=5,$N$5=3),$D$5&amp;" ","")&amp;IF(AND($M$6=5,$N$6=3),$D$6&amp;" ","")&amp;IF(AND($M$7=5,$N$7=3),$D$7&amp;" ","")&amp;IF(AND($M$8=5,$N$8=3),$D$8&amp;" ","")&amp;IF(AND($M$9=5,$N$9=3),$D$9&amp;" ","")&amp;IF(AND($M$10=5,$N$10=3),$D$10&amp;" ","")&amp;IF(AND($M$11=5,$N$11=3),$D$11&amp;" ","")&amp;IF(AND($M$12=5,$N$12=3),$D$12&amp;" ","")&amp;IF(AND($M$13=5,$N$13=3),$D$13&amp;" ","")&amp;IF(AND($M$14=5,$N$14=3),$D$14&amp;" ",""))</f>
        <v/>
      </c>
    </row>
    <row r="32" spans="1:31" ht="37.5" customHeight="1" x14ac:dyDescent="0.25">
      <c r="S32" s="19" t="str">
        <f>'Scales &amp; Matrix'!E6&amp;" ("&amp;2&amp;")"</f>
        <v>Unlikely (2)</v>
      </c>
      <c r="T32" s="20" t="str">
        <f>TRIM(IF(AND($M$5=1,$N$5=2),$D$5&amp;" ","")&amp;IF(AND($M$6=1,$N$6=2),$D$6&amp;" ","")&amp;IF(AND($M$7=1,$N$7=2),$D$7&amp;" ","")&amp;IF(AND($M$8=1,$N$8=2),$D$8&amp;" ","")&amp;IF(AND($M$9=1,$N$9=2),$D$9&amp;" ","")&amp;IF(AND($M$10=1,$N$10=2),$D$10&amp;" ","")&amp;IF(AND($M$11=1,$N$11=2),$D$11&amp;" ","")&amp;IF(AND($M$12=1,$N$12=2),$D$12&amp;" ","")&amp;IF(AND($M$13=1,$N$13=2),$D$13&amp;" ","")&amp;IF(AND($M$14=1,$N$14=2),$D$14&amp;" ",""))</f>
        <v/>
      </c>
      <c r="U32" s="20" t="str">
        <f>TRIM(IF(AND($M$5=2,$N$5=2),$D$5&amp;" ","")&amp;IF(AND($M$6=2,$N$6=2),$D$6&amp;" ","")&amp;IF(AND($M$7=2,$N$7=2),$D$7&amp;" ","")&amp;IF(AND($M$8=2,$N$8=2),$D$8&amp;" ","")&amp;IF(AND($M$9=2,$N$9=2),$D$9&amp;" ","")&amp;IF(AND($M$10=2,$N$10=2),$D$10&amp;" ","")&amp;IF(AND($M$11=2,$N$11=2),$D$11&amp;" ","")&amp;IF(AND($M$12=2,$N$12=2),$D$12&amp;" ","")&amp;IF(AND($M$13=2,$N$13=2),$D$13&amp;" ","")&amp;IF(AND($M$14=2,$N$14=2),$D$14&amp;" ",""))</f>
        <v/>
      </c>
      <c r="V32" s="20" t="str">
        <f>TRIM(IF(AND($M$5=3,$N$5=2),$D$5&amp;" ","")&amp;IF(AND($M$6=3,$N$6=2),$D$6&amp;" ","")&amp;IF(AND($M$7=3,$N$7=2),$D$7&amp;" ","")&amp;IF(AND($M$8=3,$N$8=2),$D$8&amp;" ","")&amp;IF(AND($M$9=3,$N$9=2),$D$9&amp;" ","")&amp;IF(AND($M$10=3,$N$10=2),$D$10&amp;" ","")&amp;IF(AND($M$11=3,$N$11=2),$D$11&amp;" ","")&amp;IF(AND($M$12=3,$N$12=2),$D$12&amp;" ","")&amp;IF(AND($M$13=3,$N$13=2),$D$13&amp;" ","")&amp;IF(AND($M$14=3,$N$14=2),$D$14&amp;" ",""))</f>
        <v/>
      </c>
      <c r="W32" s="20" t="str">
        <f>TRIM(IF(AND($M$5=4,$N$5=2),$D$5&amp;" ","")&amp;IF(AND($M$6=4,$N$6=2),$D$6&amp;" ","")&amp;IF(AND($M$7=4,$N$7=2),$D$7&amp;" ","")&amp;IF(AND($M$8=4,$N$8=2),$D$8&amp;" ","")&amp;IF(AND($M$9=4,$N$9=2),$D$9&amp;" ","")&amp;IF(AND($M$10=4,$N$10=2),$D$10&amp;" ","")&amp;IF(AND($M$11=4,$N$11=2),$D$11&amp;" ","")&amp;IF(AND($M$12=4,$N$12=2),$D$12&amp;" ","")&amp;IF(AND($M$13=4,$N$13=2),$D$13&amp;" ","")&amp;IF(AND($M$14=4,$N$14=2),$D$14&amp;" ",""))</f>
        <v/>
      </c>
      <c r="X32" s="20" t="str">
        <f>TRIM(IF(AND($M$5=5,$N$5=2),$D$5&amp;" ","")&amp;IF(AND($M$6=5,$N$6=2),$D$6&amp;" ","")&amp;IF(AND($M$7=5,$N$7=2),$D$7&amp;" ","")&amp;IF(AND($M$8=5,$N$8=2),$D$8&amp;" ","")&amp;IF(AND($M$9=5,$N$9=2),$D$9&amp;" ","")&amp;IF(AND($M$10=5,$N$10=2),$D$10&amp;" ","")&amp;IF(AND($M$11=5,$N$11=2),$D$11&amp;" ","")&amp;IF(AND($M$12=5,$N$12=2),$D$12&amp;" ","")&amp;IF(AND($M$13=5,$N$13=2),$D$13&amp;" ","")&amp;IF(AND($M$14=5,$N$14=2),$D$14&amp;" ",""))</f>
        <v>F09-A F24-B F28-C F31-B P15-E</v>
      </c>
    </row>
    <row r="33" spans="19:24" ht="37.5" customHeight="1" x14ac:dyDescent="0.25">
      <c r="S33" s="19" t="str">
        <f>'Scales &amp; Matrix'!E5&amp;" ("&amp;1&amp;")"</f>
        <v>Rare (1)</v>
      </c>
      <c r="T33" s="20" t="str">
        <f>TRIM(IF(AND($M$5=1,$N$5=1),$D$5&amp;" ","")&amp;IF(AND($M$6=1,$N$6=1),$D$6&amp;" ","")&amp;IF(AND($M$7=1,$N$7=1),$D$7&amp;" ","")&amp;IF(AND($M$8=1,$N$8=1),$D$8&amp;" ","")&amp;IF(AND($M$9=1,$N$9=1),$D$9&amp;" ","")&amp;IF(AND($M$10=1,$N$10=1),$D$10&amp;" ","")&amp;IF(AND($M$11=1,$N$11=1),$D$11&amp;" ","")&amp;IF(AND($M$12=1,$N$12=1),$D$12&amp;" ","")&amp;IF(AND($M$13=1,$N$13=1),$D$13&amp;" ","")&amp;IF(AND($M$14=1,$N$14=1),$D$14&amp;" ",""))</f>
        <v/>
      </c>
      <c r="U33" s="20" t="str">
        <f>TRIM(IF(AND($M$5=2,$N$5=1),$D$5&amp;" ","")&amp;IF(AND($M$6=2,$N$6=1),$D$6&amp;" ","")&amp;IF(AND($M$7=2,$N$7=1),$D$7&amp;" ","")&amp;IF(AND($M$8=2,$N$8=1),$D$8&amp;" ","")&amp;IF(AND($M$9=2,$N$9=1),$D$9&amp;" ","")&amp;IF(AND($M$10=2,$N$10=1),$D$10&amp;" ","")&amp;IF(AND($M$11=2,$N$11=1),$D$11&amp;" ","")&amp;IF(AND($M$12=2,$N$12=1),$D$12&amp;" ","")&amp;IF(AND($M$13=2,$N$13=1),$D$13&amp;" ","")&amp;IF(AND($M$14=2,$N$14=1),$D$14&amp;" ",""))</f>
        <v/>
      </c>
      <c r="V33" s="20" t="str">
        <f>TRIM(IF(AND($M$5=3,$N$5=1),$D$5&amp;" ","")&amp;IF(AND($M$6=3,$N$6=1),$D$6&amp;" ","")&amp;IF(AND($M$7=3,$N$7=1),$D$7&amp;" ","")&amp;IF(AND($M$8=3,$N$8=1),$D$8&amp;" ","")&amp;IF(AND($M$9=3,$N$9=1),$D$9&amp;" ","")&amp;IF(AND($M$10=3,$N$10=1),$D$10&amp;" ","")&amp;IF(AND($M$11=3,$N$11=1),$D$11&amp;" ","")&amp;IF(AND($M$12=3,$N$12=1),$D$12&amp;" ","")&amp;IF(AND($M$13=3,$N$13=1),$D$13&amp;" ","")&amp;IF(AND($M$14=3,$N$14=1),$D$14&amp;" ",""))</f>
        <v/>
      </c>
      <c r="W33" s="20" t="str">
        <f>TRIM(IF(AND($M$5=4,$N$5=1),$D$5&amp;" ","")&amp;IF(AND($M$6=4,$N$6=1),$D$6&amp;" ","")&amp;IF(AND($M$7=4,$N$7=1),$D$7&amp;" ","")&amp;IF(AND($M$8=4,$N$8=1),$D$8&amp;" ","")&amp;IF(AND($M$9=4,$N$9=1),$D$9&amp;" ","")&amp;IF(AND($M$10=4,$N$10=1),$D$10&amp;" ","")&amp;IF(AND($M$11=4,$N$11=1),$D$11&amp;" ","")&amp;IF(AND($M$12=4,$N$12=1),$D$12&amp;" ","")&amp;IF(AND($M$13=4,$N$13=1),$D$13&amp;" ","")&amp;IF(AND($M$14=4,$N$14=1),$D$14&amp;" ",""))</f>
        <v/>
      </c>
      <c r="X33" s="20" t="str">
        <f>TRIM(IF(AND($M$5=5,$N$5=1),$D$5&amp;" ","")&amp;IF(AND($M$6=5,$N$6=1),$D$6&amp;" ","")&amp;IF(AND($M$7=5,$N$7=1),$D$7&amp;" ","")&amp;IF(AND($M$8=5,$N$8=1),$D$8&amp;" ","")&amp;IF(AND($M$9=5,$N$9=1),$D$9&amp;" ","")&amp;IF(AND($M$10=5,$N$10=1),$D$10&amp;" ","")&amp;IF(AND($M$11=5,$N$11=1),$D$11&amp;" ","")&amp;IF(AND($M$12=5,$N$12=1),$D$12&amp;" ","")&amp;IF(AND($M$13=5,$N$13=1),$D$13&amp;" ","")&amp;IF(AND($M$14=5,$N$14=1),$D$14&amp;" ",""))</f>
        <v/>
      </c>
    </row>
    <row r="35" spans="19:24" x14ac:dyDescent="0.25">
      <c r="S35" s="3" t="s">
        <v>1318</v>
      </c>
    </row>
  </sheetData>
  <conditionalFormatting sqref="J5:K14">
    <cfRule type="expression" dxfId="1061" priority="2">
      <formula>$K5="Critical"</formula>
    </cfRule>
    <cfRule type="expression" dxfId="1060" priority="3">
      <formula>$K5="High"</formula>
    </cfRule>
    <cfRule type="expression" dxfId="1059" priority="4">
      <formula>$K5="Moderate"</formula>
    </cfRule>
    <cfRule type="expression" dxfId="1058" priority="5">
      <formula>$K5="Low"</formula>
    </cfRule>
    <cfRule type="expression" dxfId="1057" priority="6">
      <formula>$K5="Very Low"</formula>
    </cfRule>
  </conditionalFormatting>
  <conditionalFormatting sqref="O5:P14">
    <cfRule type="expression" dxfId="1056" priority="7">
      <formula>$P5="Critical"</formula>
    </cfRule>
    <cfRule type="expression" dxfId="1055" priority="8">
      <formula>$P5="High"</formula>
    </cfRule>
    <cfRule type="expression" dxfId="1054" priority="9">
      <formula>$P5="Moderate"</formula>
    </cfRule>
    <cfRule type="expression" dxfId="1053" priority="10">
      <formula>$P5="Low"</formula>
    </cfRule>
    <cfRule type="expression" dxfId="1052" priority="11">
      <formula>$P5="Very Low"</formula>
    </cfRule>
  </conditionalFormatting>
  <conditionalFormatting sqref="T21">
    <cfRule type="expression" dxfId="1051" priority="12">
      <formula>$AA$20="Critical"</formula>
    </cfRule>
    <cfRule type="expression" dxfId="1050" priority="13">
      <formula>$AA$20="High"</formula>
    </cfRule>
    <cfRule type="expression" dxfId="1049" priority="14">
      <formula>$AA$20="Moderate"</formula>
    </cfRule>
    <cfRule type="expression" dxfId="1048" priority="15">
      <formula>$AA$20="Low"</formula>
    </cfRule>
    <cfRule type="expression" dxfId="1047" priority="16">
      <formula>$AA$20="Very Low"</formula>
    </cfRule>
  </conditionalFormatting>
  <conditionalFormatting sqref="T22">
    <cfRule type="expression" dxfId="1046" priority="41">
      <formula>$AA$21="Very Low"</formula>
    </cfRule>
    <cfRule type="expression" dxfId="1045" priority="40">
      <formula>$AA$21="Low"</formula>
    </cfRule>
    <cfRule type="expression" dxfId="1044" priority="37">
      <formula>$AA$21="Critical"</formula>
    </cfRule>
    <cfRule type="expression" dxfId="1043" priority="38">
      <formula>$AA$21="High"</formula>
    </cfRule>
    <cfRule type="expression" dxfId="1042" priority="39">
      <formula>$AA$21="Moderate"</formula>
    </cfRule>
  </conditionalFormatting>
  <conditionalFormatting sqref="T23">
    <cfRule type="expression" dxfId="1041" priority="65">
      <formula>$AA$22="Low"</formula>
    </cfRule>
    <cfRule type="expression" dxfId="1040" priority="64">
      <formula>$AA$22="Moderate"</formula>
    </cfRule>
    <cfRule type="expression" dxfId="1039" priority="66">
      <formula>$AA$22="Very Low"</formula>
    </cfRule>
    <cfRule type="expression" dxfId="1038" priority="63">
      <formula>$AA$22="High"</formula>
    </cfRule>
    <cfRule type="expression" dxfId="1037" priority="62">
      <formula>$AA$22="Critical"</formula>
    </cfRule>
  </conditionalFormatting>
  <conditionalFormatting sqref="T24">
    <cfRule type="expression" dxfId="1036" priority="91">
      <formula>$AA$23="Very Low"</formula>
    </cfRule>
    <cfRule type="expression" dxfId="1035" priority="90">
      <formula>$AA$23="Low"</formula>
    </cfRule>
    <cfRule type="expression" dxfId="1034" priority="89">
      <formula>$AA$23="Moderate"</formula>
    </cfRule>
    <cfRule type="expression" dxfId="1033" priority="88">
      <formula>$AA$23="High"</formula>
    </cfRule>
    <cfRule type="expression" dxfId="1032" priority="87">
      <formula>$AA$23="Critical"</formula>
    </cfRule>
  </conditionalFormatting>
  <conditionalFormatting sqref="T25">
    <cfRule type="expression" dxfId="1031" priority="114">
      <formula>$AA$24="Moderate"</formula>
    </cfRule>
    <cfRule type="expression" dxfId="1030" priority="115">
      <formula>$AA$24="Low"</formula>
    </cfRule>
    <cfRule type="expression" dxfId="1029" priority="116">
      <formula>$AA$24="Very Low"</formula>
    </cfRule>
    <cfRule type="expression" dxfId="1028" priority="112">
      <formula>$AA$24="Critical"</formula>
    </cfRule>
    <cfRule type="expression" dxfId="1027" priority="113">
      <formula>$AA$24="High"</formula>
    </cfRule>
  </conditionalFormatting>
  <conditionalFormatting sqref="T29">
    <cfRule type="expression" dxfId="1026" priority="137">
      <formula>$AA$20="Critical"</formula>
    </cfRule>
    <cfRule type="expression" dxfId="1025" priority="138">
      <formula>$AA$20="High"</formula>
    </cfRule>
    <cfRule type="expression" dxfId="1024" priority="139">
      <formula>$AA$20="Moderate"</formula>
    </cfRule>
    <cfRule type="expression" dxfId="1023" priority="141">
      <formula>$AA$20="Very Low"</formula>
    </cfRule>
    <cfRule type="expression" dxfId="1022" priority="140">
      <formula>$AA$20="Low"</formula>
    </cfRule>
  </conditionalFormatting>
  <conditionalFormatting sqref="T30">
    <cfRule type="expression" dxfId="1021" priority="162">
      <formula>$AA$21="Critical"</formula>
    </cfRule>
    <cfRule type="expression" dxfId="1020" priority="163">
      <formula>$AA$21="High"</formula>
    </cfRule>
    <cfRule type="expression" dxfId="1019" priority="165">
      <formula>$AA$21="Low"</formula>
    </cfRule>
    <cfRule type="expression" dxfId="1018" priority="166">
      <formula>$AA$21="Very Low"</formula>
    </cfRule>
    <cfRule type="expression" dxfId="1017" priority="164">
      <formula>$AA$21="Moderate"</formula>
    </cfRule>
  </conditionalFormatting>
  <conditionalFormatting sqref="T31">
    <cfRule type="expression" dxfId="1016" priority="189">
      <formula>$AA$22="Moderate"</formula>
    </cfRule>
    <cfRule type="expression" dxfId="1015" priority="191">
      <formula>$AA$22="Very Low"</formula>
    </cfRule>
    <cfRule type="expression" dxfId="1014" priority="190">
      <formula>$AA$22="Low"</formula>
    </cfRule>
    <cfRule type="expression" dxfId="1013" priority="187">
      <formula>$AA$22="Critical"</formula>
    </cfRule>
    <cfRule type="expression" dxfId="1012" priority="188">
      <formula>$AA$22="High"</formula>
    </cfRule>
  </conditionalFormatting>
  <conditionalFormatting sqref="T32">
    <cfRule type="expression" dxfId="1011" priority="213">
      <formula>$AA$23="High"</formula>
    </cfRule>
    <cfRule type="expression" dxfId="1010" priority="216">
      <formula>$AA$23="Very Low"</formula>
    </cfRule>
    <cfRule type="expression" dxfId="1009" priority="215">
      <formula>$AA$23="Low"</formula>
    </cfRule>
    <cfRule type="expression" dxfId="1008" priority="214">
      <formula>$AA$23="Moderate"</formula>
    </cfRule>
    <cfRule type="expression" dxfId="1007" priority="212">
      <formula>$AA$23="Critical"</formula>
    </cfRule>
  </conditionalFormatting>
  <conditionalFormatting sqref="T33">
    <cfRule type="expression" dxfId="1006" priority="237">
      <formula>$AA$24="Critical"</formula>
    </cfRule>
    <cfRule type="expression" dxfId="1005" priority="238">
      <formula>$AA$24="High"</formula>
    </cfRule>
    <cfRule type="expression" dxfId="1004" priority="241">
      <formula>$AA$24="Very Low"</formula>
    </cfRule>
    <cfRule type="expression" dxfId="1003" priority="239">
      <formula>$AA$24="Moderate"</formula>
    </cfRule>
    <cfRule type="expression" dxfId="1002" priority="240">
      <formula>$AA$24="Low"</formula>
    </cfRule>
  </conditionalFormatting>
  <conditionalFormatting sqref="U21">
    <cfRule type="expression" dxfId="1001" priority="18">
      <formula>$AB$20="High"</formula>
    </cfRule>
    <cfRule type="expression" dxfId="1000" priority="19">
      <formula>$AB$20="Moderate"</formula>
    </cfRule>
    <cfRule type="expression" dxfId="999" priority="20">
      <formula>$AB$20="Low"</formula>
    </cfRule>
    <cfRule type="expression" dxfId="998" priority="21">
      <formula>$AB$20="Very Low"</formula>
    </cfRule>
    <cfRule type="expression" dxfId="997" priority="17">
      <formula>$AB$20="Critical"</formula>
    </cfRule>
  </conditionalFormatting>
  <conditionalFormatting sqref="U22">
    <cfRule type="expression" dxfId="996" priority="46">
      <formula>$AB$21="Very Low"</formula>
    </cfRule>
    <cfRule type="expression" dxfId="995" priority="45">
      <formula>$AB$21="Low"</formula>
    </cfRule>
    <cfRule type="expression" dxfId="994" priority="44">
      <formula>$AB$21="Moderate"</formula>
    </cfRule>
    <cfRule type="expression" dxfId="993" priority="42">
      <formula>$AB$21="Critical"</formula>
    </cfRule>
    <cfRule type="expression" dxfId="992" priority="43">
      <formula>$AB$21="High"</formula>
    </cfRule>
  </conditionalFormatting>
  <conditionalFormatting sqref="U23">
    <cfRule type="expression" dxfId="991" priority="67">
      <formula>$AB$22="Critical"</formula>
    </cfRule>
    <cfRule type="expression" dxfId="990" priority="68">
      <formula>$AB$22="High"</formula>
    </cfRule>
    <cfRule type="expression" dxfId="989" priority="69">
      <formula>$AB$22="Moderate"</formula>
    </cfRule>
    <cfRule type="expression" dxfId="988" priority="70">
      <formula>$AB$22="Low"</formula>
    </cfRule>
    <cfRule type="expression" dxfId="987" priority="71">
      <formula>$AB$22="Very Low"</formula>
    </cfRule>
  </conditionalFormatting>
  <conditionalFormatting sqref="U24">
    <cfRule type="expression" dxfId="986" priority="94">
      <formula>$AB$23="Moderate"</formula>
    </cfRule>
    <cfRule type="expression" dxfId="985" priority="95">
      <formula>$AB$23="Low"</formula>
    </cfRule>
    <cfRule type="expression" dxfId="984" priority="96">
      <formula>$AB$23="Very Low"</formula>
    </cfRule>
    <cfRule type="expression" dxfId="983" priority="92">
      <formula>$AB$23="Critical"</formula>
    </cfRule>
    <cfRule type="expression" dxfId="982" priority="93">
      <formula>$AB$23="High"</formula>
    </cfRule>
  </conditionalFormatting>
  <conditionalFormatting sqref="U25">
    <cfRule type="expression" dxfId="981" priority="120">
      <formula>$AB$24="Low"</formula>
    </cfRule>
    <cfRule type="expression" dxfId="980" priority="119">
      <formula>$AB$24="Moderate"</formula>
    </cfRule>
    <cfRule type="expression" dxfId="979" priority="118">
      <formula>$AB$24="High"</formula>
    </cfRule>
    <cfRule type="expression" dxfId="978" priority="117">
      <formula>$AB$24="Critical"</formula>
    </cfRule>
    <cfRule type="expression" dxfId="977" priority="121">
      <formula>$AB$24="Very Low"</formula>
    </cfRule>
  </conditionalFormatting>
  <conditionalFormatting sqref="U29">
    <cfRule type="expression" dxfId="976" priority="144">
      <formula>$AB$20="Moderate"</formula>
    </cfRule>
    <cfRule type="expression" dxfId="975" priority="145">
      <formula>$AB$20="Low"</formula>
    </cfRule>
    <cfRule type="expression" dxfId="974" priority="146">
      <formula>$AB$20="Very Low"</formula>
    </cfRule>
    <cfRule type="expression" dxfId="973" priority="142">
      <formula>$AB$20="Critical"</formula>
    </cfRule>
    <cfRule type="expression" dxfId="972" priority="143">
      <formula>$AB$20="High"</formula>
    </cfRule>
  </conditionalFormatting>
  <conditionalFormatting sqref="U30">
    <cfRule type="expression" dxfId="971" priority="167">
      <formula>$AB$21="Critical"</formula>
    </cfRule>
    <cfRule type="expression" dxfId="970" priority="168">
      <formula>$AB$21="High"</formula>
    </cfRule>
    <cfRule type="expression" dxfId="969" priority="169">
      <formula>$AB$21="Moderate"</formula>
    </cfRule>
    <cfRule type="expression" dxfId="968" priority="171">
      <formula>$AB$21="Very Low"</formula>
    </cfRule>
    <cfRule type="expression" dxfId="967" priority="170">
      <formula>$AB$21="Low"</formula>
    </cfRule>
  </conditionalFormatting>
  <conditionalFormatting sqref="U31">
    <cfRule type="expression" dxfId="966" priority="192">
      <formula>$AB$22="Critical"</formula>
    </cfRule>
    <cfRule type="expression" dxfId="965" priority="194">
      <formula>$AB$22="Moderate"</formula>
    </cfRule>
    <cfRule type="expression" dxfId="964" priority="196">
      <formula>$AB$22="Very Low"</formula>
    </cfRule>
    <cfRule type="expression" dxfId="963" priority="195">
      <formula>$AB$22="Low"</formula>
    </cfRule>
    <cfRule type="expression" dxfId="962" priority="193">
      <formula>$AB$22="High"</formula>
    </cfRule>
  </conditionalFormatting>
  <conditionalFormatting sqref="U32">
    <cfRule type="expression" dxfId="961" priority="220">
      <formula>$AB$23="Low"</formula>
    </cfRule>
    <cfRule type="expression" dxfId="960" priority="221">
      <formula>$AB$23="Very Low"</formula>
    </cfRule>
    <cfRule type="expression" dxfId="959" priority="217">
      <formula>$AB$23="Critical"</formula>
    </cfRule>
    <cfRule type="expression" dxfId="958" priority="218">
      <formula>$AB$23="High"</formula>
    </cfRule>
    <cfRule type="expression" dxfId="957" priority="219">
      <formula>$AB$23="Moderate"</formula>
    </cfRule>
  </conditionalFormatting>
  <conditionalFormatting sqref="U33">
    <cfRule type="expression" dxfId="956" priority="245">
      <formula>$AB$24="Low"</formula>
    </cfRule>
    <cfRule type="expression" dxfId="955" priority="246">
      <formula>$AB$24="Very Low"</formula>
    </cfRule>
    <cfRule type="expression" dxfId="954" priority="244">
      <formula>$AB$24="Moderate"</formula>
    </cfRule>
    <cfRule type="expression" dxfId="953" priority="243">
      <formula>$AB$24="High"</formula>
    </cfRule>
    <cfRule type="expression" dxfId="952" priority="242">
      <formula>$AB$24="Critical"</formula>
    </cfRule>
  </conditionalFormatting>
  <conditionalFormatting sqref="V21">
    <cfRule type="expression" dxfId="951" priority="22">
      <formula>$AC$20="Critical"</formula>
    </cfRule>
    <cfRule type="expression" dxfId="950" priority="23">
      <formula>$AC$20="High"</formula>
    </cfRule>
    <cfRule type="expression" dxfId="949" priority="24">
      <formula>$AC$20="Moderate"</formula>
    </cfRule>
    <cfRule type="expression" dxfId="948" priority="25">
      <formula>$AC$20="Low"</formula>
    </cfRule>
    <cfRule type="expression" dxfId="947" priority="26">
      <formula>$AC$20="Very Low"</formula>
    </cfRule>
  </conditionalFormatting>
  <conditionalFormatting sqref="V22">
    <cfRule type="expression" dxfId="946" priority="50">
      <formula>$AC$21="Low"</formula>
    </cfRule>
    <cfRule type="expression" dxfId="945" priority="48">
      <formula>$AC$21="High"</formula>
    </cfRule>
    <cfRule type="expression" dxfId="944" priority="49">
      <formula>$AC$21="Moderate"</formula>
    </cfRule>
    <cfRule type="expression" dxfId="943" priority="51">
      <formula>$AC$21="Very Low"</formula>
    </cfRule>
    <cfRule type="expression" dxfId="942" priority="47">
      <formula>$AC$21="Critical"</formula>
    </cfRule>
  </conditionalFormatting>
  <conditionalFormatting sqref="V23">
    <cfRule type="expression" dxfId="941" priority="74">
      <formula>$AC$22="Moderate"</formula>
    </cfRule>
    <cfRule type="expression" dxfId="940" priority="75">
      <formula>$AC$22="Low"</formula>
    </cfRule>
    <cfRule type="expression" dxfId="939" priority="76">
      <formula>$AC$22="Very Low"</formula>
    </cfRule>
    <cfRule type="expression" dxfId="938" priority="73">
      <formula>$AC$22="High"</formula>
    </cfRule>
    <cfRule type="expression" dxfId="937" priority="72">
      <formula>$AC$22="Critical"</formula>
    </cfRule>
  </conditionalFormatting>
  <conditionalFormatting sqref="V24">
    <cfRule type="expression" dxfId="936" priority="100">
      <formula>$AC$23="Low"</formula>
    </cfRule>
    <cfRule type="expression" dxfId="935" priority="97">
      <formula>$AC$23="Critical"</formula>
    </cfRule>
    <cfRule type="expression" dxfId="934" priority="98">
      <formula>$AC$23="High"</formula>
    </cfRule>
    <cfRule type="expression" dxfId="933" priority="99">
      <formula>$AC$23="Moderate"</formula>
    </cfRule>
    <cfRule type="expression" dxfId="932" priority="101">
      <formula>$AC$23="Very Low"</formula>
    </cfRule>
  </conditionalFormatting>
  <conditionalFormatting sqref="V25">
    <cfRule type="expression" dxfId="931" priority="122">
      <formula>$AC$24="Critical"</formula>
    </cfRule>
    <cfRule type="expression" dxfId="930" priority="123">
      <formula>$AC$24="High"</formula>
    </cfRule>
    <cfRule type="expression" dxfId="929" priority="126">
      <formula>$AC$24="Very Low"</formula>
    </cfRule>
    <cfRule type="expression" dxfId="928" priority="125">
      <formula>$AC$24="Low"</formula>
    </cfRule>
    <cfRule type="expression" dxfId="927" priority="124">
      <formula>$AC$24="Moderate"</formula>
    </cfRule>
  </conditionalFormatting>
  <conditionalFormatting sqref="V29">
    <cfRule type="expression" dxfId="926" priority="147">
      <formula>$AC$20="Critical"</formula>
    </cfRule>
    <cfRule type="expression" dxfId="925" priority="148">
      <formula>$AC$20="High"</formula>
    </cfRule>
    <cfRule type="expression" dxfId="924" priority="151">
      <formula>$AC$20="Very Low"</formula>
    </cfRule>
    <cfRule type="expression" dxfId="923" priority="149">
      <formula>$AC$20="Moderate"</formula>
    </cfRule>
    <cfRule type="expression" dxfId="922" priority="150">
      <formula>$AC$20="Low"</formula>
    </cfRule>
  </conditionalFormatting>
  <conditionalFormatting sqref="V30">
    <cfRule type="expression" dxfId="921" priority="176">
      <formula>$AC$21="Very Low"</formula>
    </cfRule>
    <cfRule type="expression" dxfId="920" priority="175">
      <formula>$AC$21="Low"</formula>
    </cfRule>
    <cfRule type="expression" dxfId="919" priority="174">
      <formula>$AC$21="Moderate"</formula>
    </cfRule>
    <cfRule type="expression" dxfId="918" priority="173">
      <formula>$AC$21="High"</formula>
    </cfRule>
    <cfRule type="expression" dxfId="917" priority="172">
      <formula>$AC$21="Critical"</formula>
    </cfRule>
  </conditionalFormatting>
  <conditionalFormatting sqref="V31">
    <cfRule type="expression" dxfId="916" priority="198">
      <formula>$AC$22="High"</formula>
    </cfRule>
    <cfRule type="expression" dxfId="915" priority="199">
      <formula>$AC$22="Moderate"</formula>
    </cfRule>
    <cfRule type="expression" dxfId="914" priority="197">
      <formula>$AC$22="Critical"</formula>
    </cfRule>
    <cfRule type="expression" dxfId="913" priority="201">
      <formula>$AC$22="Very Low"</formula>
    </cfRule>
    <cfRule type="expression" dxfId="912" priority="200">
      <formula>$AC$22="Low"</formula>
    </cfRule>
  </conditionalFormatting>
  <conditionalFormatting sqref="V32">
    <cfRule type="expression" dxfId="911" priority="224">
      <formula>$AC$23="Moderate"</formula>
    </cfRule>
    <cfRule type="expression" dxfId="910" priority="225">
      <formula>$AC$23="Low"</formula>
    </cfRule>
    <cfRule type="expression" dxfId="909" priority="226">
      <formula>$AC$23="Very Low"</formula>
    </cfRule>
    <cfRule type="expression" dxfId="908" priority="223">
      <formula>$AC$23="High"</formula>
    </cfRule>
    <cfRule type="expression" dxfId="907" priority="222">
      <formula>$AC$23="Critical"</formula>
    </cfRule>
  </conditionalFormatting>
  <conditionalFormatting sqref="V33">
    <cfRule type="expression" dxfId="906" priority="251">
      <formula>$AC$24="Very Low"</formula>
    </cfRule>
    <cfRule type="expression" dxfId="905" priority="250">
      <formula>$AC$24="Low"</formula>
    </cfRule>
    <cfRule type="expression" dxfId="904" priority="249">
      <formula>$AC$24="Moderate"</formula>
    </cfRule>
    <cfRule type="expression" dxfId="903" priority="248">
      <formula>$AC$24="High"</formula>
    </cfRule>
    <cfRule type="expression" dxfId="902" priority="247">
      <formula>$AC$24="Critical"</formula>
    </cfRule>
  </conditionalFormatting>
  <conditionalFormatting sqref="W21">
    <cfRule type="expression" dxfId="901" priority="27">
      <formula>$AD$20="Critical"</formula>
    </cfRule>
    <cfRule type="expression" dxfId="900" priority="31">
      <formula>$AD$20="Very Low"</formula>
    </cfRule>
    <cfRule type="expression" dxfId="899" priority="29">
      <formula>$AD$20="Moderate"</formula>
    </cfRule>
    <cfRule type="expression" dxfId="898" priority="28">
      <formula>$AD$20="High"</formula>
    </cfRule>
    <cfRule type="expression" dxfId="897" priority="30">
      <formula>$AD$20="Low"</formula>
    </cfRule>
  </conditionalFormatting>
  <conditionalFormatting sqref="W22">
    <cfRule type="expression" dxfId="896" priority="52">
      <formula>$AD$21="Critical"</formula>
    </cfRule>
    <cfRule type="expression" dxfId="895" priority="55">
      <formula>$AD$21="Low"</formula>
    </cfRule>
    <cfRule type="expression" dxfId="894" priority="56">
      <formula>$AD$21="Very Low"</formula>
    </cfRule>
    <cfRule type="expression" dxfId="893" priority="54">
      <formula>$AD$21="Moderate"</formula>
    </cfRule>
    <cfRule type="expression" dxfId="892" priority="53">
      <formula>$AD$21="High"</formula>
    </cfRule>
  </conditionalFormatting>
  <conditionalFormatting sqref="W23">
    <cfRule type="expression" dxfId="891" priority="80">
      <formula>$AD$22="Low"</formula>
    </cfRule>
    <cfRule type="expression" dxfId="890" priority="79">
      <formula>$AD$22="Moderate"</formula>
    </cfRule>
    <cfRule type="expression" dxfId="889" priority="78">
      <formula>$AD$22="High"</formula>
    </cfRule>
    <cfRule type="expression" dxfId="888" priority="77">
      <formula>$AD$22="Critical"</formula>
    </cfRule>
    <cfRule type="expression" dxfId="887" priority="81">
      <formula>$AD$22="Very Low"</formula>
    </cfRule>
  </conditionalFormatting>
  <conditionalFormatting sqref="W24">
    <cfRule type="expression" dxfId="886" priority="105">
      <formula>$AD$23="Low"</formula>
    </cfRule>
    <cfRule type="expression" dxfId="885" priority="106">
      <formula>$AD$23="Very Low"</formula>
    </cfRule>
    <cfRule type="expression" dxfId="884" priority="102">
      <formula>$AD$23="Critical"</formula>
    </cfRule>
    <cfRule type="expression" dxfId="883" priority="104">
      <formula>$AD$23="Moderate"</formula>
    </cfRule>
    <cfRule type="expression" dxfId="882" priority="103">
      <formula>$AD$23="High"</formula>
    </cfRule>
  </conditionalFormatting>
  <conditionalFormatting sqref="W25">
    <cfRule type="expression" dxfId="881" priority="129">
      <formula>$AD$24="Moderate"</formula>
    </cfRule>
    <cfRule type="expression" dxfId="880" priority="127">
      <formula>$AD$24="Critical"</formula>
    </cfRule>
    <cfRule type="expression" dxfId="879" priority="128">
      <formula>$AD$24="High"</formula>
    </cfRule>
    <cfRule type="expression" dxfId="878" priority="130">
      <formula>$AD$24="Low"</formula>
    </cfRule>
    <cfRule type="expression" dxfId="877" priority="131">
      <formula>$AD$24="Very Low"</formula>
    </cfRule>
  </conditionalFormatting>
  <conditionalFormatting sqref="W29">
    <cfRule type="expression" dxfId="876" priority="156">
      <formula>$AD$20="Very Low"</formula>
    </cfRule>
    <cfRule type="expression" dxfId="875" priority="154">
      <formula>$AD$20="Moderate"</formula>
    </cfRule>
    <cfRule type="expression" dxfId="874" priority="153">
      <formula>$AD$20="High"</formula>
    </cfRule>
    <cfRule type="expression" dxfId="873" priority="152">
      <formula>$AD$20="Critical"</formula>
    </cfRule>
    <cfRule type="expression" dxfId="872" priority="155">
      <formula>$AD$20="Low"</formula>
    </cfRule>
  </conditionalFormatting>
  <conditionalFormatting sqref="W30">
    <cfRule type="expression" dxfId="871" priority="181">
      <formula>$AD$21="Very Low"</formula>
    </cfRule>
    <cfRule type="expression" dxfId="870" priority="177">
      <formula>$AD$21="Critical"</formula>
    </cfRule>
    <cfRule type="expression" dxfId="869" priority="178">
      <formula>$AD$21="High"</formula>
    </cfRule>
    <cfRule type="expression" dxfId="868" priority="179">
      <formula>$AD$21="Moderate"</formula>
    </cfRule>
    <cfRule type="expression" dxfId="867" priority="180">
      <formula>$AD$21="Low"</formula>
    </cfRule>
  </conditionalFormatting>
  <conditionalFormatting sqref="W31">
    <cfRule type="expression" dxfId="866" priority="205">
      <formula>$AD$22="Low"</formula>
    </cfRule>
    <cfRule type="expression" dxfId="865" priority="202">
      <formula>$AD$22="Critical"</formula>
    </cfRule>
    <cfRule type="expression" dxfId="864" priority="203">
      <formula>$AD$22="High"</formula>
    </cfRule>
    <cfRule type="expression" dxfId="863" priority="204">
      <formula>$AD$22="Moderate"</formula>
    </cfRule>
    <cfRule type="expression" dxfId="862" priority="206">
      <formula>$AD$22="Very Low"</formula>
    </cfRule>
  </conditionalFormatting>
  <conditionalFormatting sqref="W32">
    <cfRule type="expression" dxfId="861" priority="229">
      <formula>$AD$23="Moderate"</formula>
    </cfRule>
    <cfRule type="expression" dxfId="860" priority="231">
      <formula>$AD$23="Very Low"</formula>
    </cfRule>
    <cfRule type="expression" dxfId="859" priority="230">
      <formula>$AD$23="Low"</formula>
    </cfRule>
    <cfRule type="expression" dxfId="858" priority="227">
      <formula>$AD$23="Critical"</formula>
    </cfRule>
    <cfRule type="expression" dxfId="857" priority="228">
      <formula>$AD$23="High"</formula>
    </cfRule>
  </conditionalFormatting>
  <conditionalFormatting sqref="W33">
    <cfRule type="expression" dxfId="856" priority="255">
      <formula>$AD$24="Low"</formula>
    </cfRule>
    <cfRule type="expression" dxfId="855" priority="254">
      <formula>$AD$24="Moderate"</formula>
    </cfRule>
    <cfRule type="expression" dxfId="854" priority="252">
      <formula>$AD$24="Critical"</formula>
    </cfRule>
    <cfRule type="expression" dxfId="853" priority="253">
      <formula>$AD$24="High"</formula>
    </cfRule>
    <cfRule type="expression" dxfId="852" priority="256">
      <formula>$AD$24="Very Low"</formula>
    </cfRule>
  </conditionalFormatting>
  <conditionalFormatting sqref="X21">
    <cfRule type="expression" dxfId="851" priority="33">
      <formula>$AE$20="High"</formula>
    </cfRule>
    <cfRule type="expression" dxfId="850" priority="32">
      <formula>$AE$20="Critical"</formula>
    </cfRule>
    <cfRule type="expression" dxfId="849" priority="34">
      <formula>$AE$20="Moderate"</formula>
    </cfRule>
    <cfRule type="expression" dxfId="848" priority="36">
      <formula>$AE$20="Very Low"</formula>
    </cfRule>
    <cfRule type="expression" dxfId="847" priority="35">
      <formula>$AE$20="Low"</formula>
    </cfRule>
  </conditionalFormatting>
  <conditionalFormatting sqref="X22">
    <cfRule type="expression" dxfId="846" priority="61">
      <formula>$AE$21="Very Low"</formula>
    </cfRule>
    <cfRule type="expression" dxfId="845" priority="60">
      <formula>$AE$21="Low"</formula>
    </cfRule>
    <cfRule type="expression" dxfId="844" priority="59">
      <formula>$AE$21="Moderate"</formula>
    </cfRule>
    <cfRule type="expression" dxfId="843" priority="58">
      <formula>$AE$21="High"</formula>
    </cfRule>
    <cfRule type="expression" dxfId="842" priority="57">
      <formula>$AE$21="Critical"</formula>
    </cfRule>
  </conditionalFormatting>
  <conditionalFormatting sqref="X23">
    <cfRule type="expression" dxfId="841" priority="82">
      <formula>$AE$22="Critical"</formula>
    </cfRule>
    <cfRule type="expression" dxfId="840" priority="83">
      <formula>$AE$22="High"</formula>
    </cfRule>
    <cfRule type="expression" dxfId="839" priority="84">
      <formula>$AE$22="Moderate"</formula>
    </cfRule>
    <cfRule type="expression" dxfId="838" priority="85">
      <formula>$AE$22="Low"</formula>
    </cfRule>
    <cfRule type="expression" dxfId="837" priority="86">
      <formula>$AE$22="Very Low"</formula>
    </cfRule>
  </conditionalFormatting>
  <conditionalFormatting sqref="X24">
    <cfRule type="expression" dxfId="836" priority="108">
      <formula>$AE$23="High"</formula>
    </cfRule>
    <cfRule type="expression" dxfId="835" priority="111">
      <formula>$AE$23="Very Low"</formula>
    </cfRule>
    <cfRule type="expression" dxfId="834" priority="110">
      <formula>$AE$23="Low"</formula>
    </cfRule>
    <cfRule type="expression" dxfId="833" priority="109">
      <formula>$AE$23="Moderate"</formula>
    </cfRule>
    <cfRule type="expression" dxfId="832" priority="107">
      <formula>$AE$23="Critical"</formula>
    </cfRule>
  </conditionalFormatting>
  <conditionalFormatting sqref="X25">
    <cfRule type="expression" dxfId="831" priority="133">
      <formula>$AE$24="High"</formula>
    </cfRule>
    <cfRule type="expression" dxfId="830" priority="132">
      <formula>$AE$24="Critical"</formula>
    </cfRule>
    <cfRule type="expression" dxfId="829" priority="134">
      <formula>$AE$24="Moderate"</formula>
    </cfRule>
    <cfRule type="expression" dxfId="828" priority="135">
      <formula>$AE$24="Low"</formula>
    </cfRule>
    <cfRule type="expression" dxfId="827" priority="136">
      <formula>$AE$24="Very Low"</formula>
    </cfRule>
  </conditionalFormatting>
  <conditionalFormatting sqref="X29">
    <cfRule type="expression" dxfId="826" priority="158">
      <formula>$AE$20="High"</formula>
    </cfRule>
    <cfRule type="expression" dxfId="825" priority="157">
      <formula>$AE$20="Critical"</formula>
    </cfRule>
    <cfRule type="expression" dxfId="824" priority="160">
      <formula>$AE$20="Low"</formula>
    </cfRule>
    <cfRule type="expression" dxfId="823" priority="161">
      <formula>$AE$20="Very Low"</formula>
    </cfRule>
    <cfRule type="expression" dxfId="822" priority="159">
      <formula>$AE$20="Moderate"</formula>
    </cfRule>
  </conditionalFormatting>
  <conditionalFormatting sqref="X30">
    <cfRule type="expression" dxfId="821" priority="184">
      <formula>$AE$21="Moderate"</formula>
    </cfRule>
    <cfRule type="expression" dxfId="820" priority="186">
      <formula>$AE$21="Very Low"</formula>
    </cfRule>
    <cfRule type="expression" dxfId="819" priority="182">
      <formula>$AE$21="Critical"</formula>
    </cfRule>
    <cfRule type="expression" dxfId="818" priority="183">
      <formula>$AE$21="High"</formula>
    </cfRule>
    <cfRule type="expression" dxfId="817" priority="185">
      <formula>$AE$21="Low"</formula>
    </cfRule>
  </conditionalFormatting>
  <conditionalFormatting sqref="X31">
    <cfRule type="expression" dxfId="816" priority="207">
      <formula>$AE$22="Critical"</formula>
    </cfRule>
    <cfRule type="expression" dxfId="815" priority="209">
      <formula>$AE$22="Moderate"</formula>
    </cfRule>
    <cfRule type="expression" dxfId="814" priority="208">
      <formula>$AE$22="High"</formula>
    </cfRule>
    <cfRule type="expression" dxfId="813" priority="211">
      <formula>$AE$22="Very Low"</formula>
    </cfRule>
    <cfRule type="expression" dxfId="812" priority="210">
      <formula>$AE$22="Low"</formula>
    </cfRule>
  </conditionalFormatting>
  <conditionalFormatting sqref="X32">
    <cfRule type="expression" dxfId="811" priority="234">
      <formula>$AE$23="Moderate"</formula>
    </cfRule>
    <cfRule type="expression" dxfId="810" priority="236">
      <formula>$AE$23="Very Low"</formula>
    </cfRule>
    <cfRule type="expression" dxfId="809" priority="232">
      <formula>$AE$23="Critical"</formula>
    </cfRule>
    <cfRule type="expression" dxfId="808" priority="233">
      <formula>$AE$23="High"</formula>
    </cfRule>
    <cfRule type="expression" dxfId="807" priority="235">
      <formula>$AE$23="Low"</formula>
    </cfRule>
  </conditionalFormatting>
  <conditionalFormatting sqref="X33">
    <cfRule type="expression" dxfId="806" priority="257">
      <formula>$AE$24="Critical"</formula>
    </cfRule>
    <cfRule type="expression" dxfId="805" priority="258">
      <formula>$AE$24="High"</formula>
    </cfRule>
    <cfRule type="expression" dxfId="804" priority="259">
      <formula>$AE$24="Moderate"</formula>
    </cfRule>
    <cfRule type="expression" dxfId="803" priority="260">
      <formula>$AE$24="Low"</formula>
    </cfRule>
    <cfRule type="expression" dxfId="802" priority="261">
      <formula>$AE$24="Very Low"</formula>
    </cfRule>
  </conditionalFormatting>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5"/>
  <sheetViews>
    <sheetView zoomScale="80" zoomScaleNormal="80" workbookViewId="0">
      <pane ySplit="4" topLeftCell="A5" activePane="bottomLeft" state="frozen"/>
      <selection pane="bottomLeft"/>
    </sheetView>
  </sheetViews>
  <sheetFormatPr defaultColWidth="8.7109375" defaultRowHeight="15" x14ac:dyDescent="0.25"/>
  <cols>
    <col min="1" max="1" width="6" customWidth="1"/>
    <col min="2" max="3" width="13" hidden="1" customWidth="1"/>
    <col min="4" max="4" width="9" customWidth="1"/>
    <col min="5" max="5" width="11" customWidth="1"/>
    <col min="6" max="6" width="30" customWidth="1"/>
    <col min="7" max="7" width="40" customWidth="1"/>
    <col min="8" max="9" width="8" customWidth="1"/>
    <col min="10" max="10" width="9" customWidth="1"/>
    <col min="11" max="11" width="10" customWidth="1"/>
    <col min="12" max="12" width="50" customWidth="1"/>
    <col min="13" max="14" width="8" customWidth="1"/>
    <col min="15" max="15" width="9" customWidth="1"/>
    <col min="16" max="16" width="10" customWidth="1"/>
    <col min="17" max="17" width="9" customWidth="1"/>
    <col min="18" max="18" width="3" customWidth="1"/>
    <col min="19" max="19" width="20" customWidth="1"/>
    <col min="20" max="24" width="14" customWidth="1"/>
    <col min="27" max="31" width="13" hidden="1" customWidth="1"/>
  </cols>
  <sheetData>
    <row r="1" spans="1:17" ht="18" x14ac:dyDescent="0.25">
      <c r="A1" s="2" t="s">
        <v>1319</v>
      </c>
    </row>
    <row r="2" spans="1:17" x14ac:dyDescent="0.25">
      <c r="A2" s="3" t="s">
        <v>1303</v>
      </c>
    </row>
    <row r="4" spans="1:17" ht="36" customHeight="1" x14ac:dyDescent="0.25">
      <c r="A4" s="5" t="s">
        <v>1304</v>
      </c>
      <c r="B4" s="5" t="s">
        <v>1305</v>
      </c>
      <c r="C4" s="5" t="s">
        <v>1306</v>
      </c>
      <c r="D4" s="5" t="s">
        <v>4</v>
      </c>
      <c r="E4" s="5" t="s">
        <v>6</v>
      </c>
      <c r="F4" s="5" t="s">
        <v>1307</v>
      </c>
      <c r="G4" s="5" t="s">
        <v>1308</v>
      </c>
      <c r="H4" s="5" t="s">
        <v>1309</v>
      </c>
      <c r="I4" s="5" t="s">
        <v>1310</v>
      </c>
      <c r="J4" s="5" t="s">
        <v>17</v>
      </c>
      <c r="K4" s="5" t="s">
        <v>18</v>
      </c>
      <c r="L4" s="5" t="s">
        <v>19</v>
      </c>
      <c r="M4" s="5" t="s">
        <v>1311</v>
      </c>
      <c r="N4" s="5" t="s">
        <v>1312</v>
      </c>
      <c r="O4" s="5" t="s">
        <v>22</v>
      </c>
      <c r="P4" s="5" t="s">
        <v>23</v>
      </c>
      <c r="Q4" s="5" t="s">
        <v>24</v>
      </c>
    </row>
    <row r="5" spans="1:17" ht="75" customHeight="1" x14ac:dyDescent="0.25">
      <c r="A5" s="14">
        <v>1</v>
      </c>
      <c r="B5" s="7">
        <f>IFERROR(LARGE('Risk Register'!$AC$5:$AC$297,A5),0)</f>
        <v>12159995</v>
      </c>
      <c r="C5" s="7">
        <f>IF(B5&gt;0,MATCH(B5,'Risk Register'!$AC$5:$AC$297,0),0)</f>
        <v>1</v>
      </c>
      <c r="D5" s="14" t="str">
        <f>IF($C5=0,"",INDEX('Risk Register'!$B$5:$B$297,$C5))</f>
        <v>P36-C</v>
      </c>
      <c r="E5" s="7" t="str">
        <f>IF($C5=0,"",INDEX('Risk Register'!$D$5:$D$297,$C5))</f>
        <v>Perth</v>
      </c>
      <c r="F5" s="9" t="str">
        <f>IF($C5=0,"",INDEX('Risk Register'!$E$5:$E$297,$C5))</f>
        <v>School Event: Nursery Studio Easter Stay &amp; Play (National Reg. 101, 115, 167)</v>
      </c>
      <c r="G5" s="9" t="str">
        <f>IF($C5=0,"",INDEX('Risk Register'!$L$5:$L$297,$C5))</f>
        <v>Child eating the instruments and swallow some of the smaller bits on the musical instruments.</v>
      </c>
      <c r="H5" s="7">
        <f>IF($C5=0,"",INDEX('Risk Register'!$M$5:$M$297,$C5))</f>
        <v>5</v>
      </c>
      <c r="I5" s="7">
        <f>IF($C5=0,"",INDEX('Risk Register'!$N$5:$N$297,$C5))</f>
        <v>3</v>
      </c>
      <c r="J5" s="7">
        <f>IF($C5=0,"",INDEX('Risk Register'!$O$5:$O$297,$C5))</f>
        <v>15</v>
      </c>
      <c r="K5" s="7" t="str">
        <f>IF($C5=0,"",INDEX('Risk Register'!$P$5:$P$297,$C5))</f>
        <v>High</v>
      </c>
      <c r="L5" s="9" t="str">
        <f>IF($C5=0,"",INDEX('Risk Register'!$Q$5:$Q$297,$C5))</f>
        <v>Closely supervision and check instruments to see if any bits are close or a danger to the children</v>
      </c>
      <c r="M5" s="7">
        <f>IF($C5=0,"",INDEX('Risk Register'!$R$5:$R$297,$C5))</f>
        <v>4</v>
      </c>
      <c r="N5" s="7">
        <f>IF($C5=0,"",INDEX('Risk Register'!$S$5:$S$297,$C5))</f>
        <v>3</v>
      </c>
      <c r="O5" s="7">
        <f>IF($C5=0,"",INDEX('Risk Register'!$T$5:$T$297,$C5))</f>
        <v>12</v>
      </c>
      <c r="P5" s="7" t="str">
        <f>IF($C5=0,"",INDEX('Risk Register'!$U$5:$U$297,$C5))</f>
        <v>High</v>
      </c>
      <c r="Q5" s="11">
        <f>IF($C5=0,"",INDEX('Risk Register'!$V$5:$V$297,$C5))</f>
        <v>3</v>
      </c>
    </row>
    <row r="6" spans="1:17" ht="75" customHeight="1" x14ac:dyDescent="0.25">
      <c r="A6" s="14">
        <v>2</v>
      </c>
      <c r="B6" s="7">
        <f>IFERROR(LARGE('Risk Register'!$AC$5:$AC$297,A6),0)</f>
        <v>12129993</v>
      </c>
      <c r="C6" s="7">
        <f>IF(B6&gt;0,MATCH(B6,'Risk Register'!$AC$5:$AC$297,0),0)</f>
        <v>3</v>
      </c>
      <c r="D6" s="14" t="str">
        <f>IF($C6=0,"",INDEX('Risk Register'!$B$5:$B$297,$C6))</f>
        <v>P18-E</v>
      </c>
      <c r="E6" s="7" t="str">
        <f>IF($C6=0,"",INDEX('Risk Register'!$D$5:$D$297,$C6))</f>
        <v>Perth</v>
      </c>
      <c r="F6" s="9" t="str">
        <f>IF($C6=0,"",INDEX('Risk Register'!$E$5:$E$297,$C6))</f>
        <v>Incident: Missing Child / Absconding (National Regulation 99)</v>
      </c>
      <c r="G6" s="9" t="str">
        <f>IF($C6=0,"",INDEX('Risk Register'!$L$5:$L$297,$C6))</f>
        <v>Child lost / serious safety risk.</v>
      </c>
      <c r="H6" s="7">
        <f>IF($C6=0,"",INDEX('Risk Register'!$M$5:$M$297,$C6))</f>
        <v>4</v>
      </c>
      <c r="I6" s="7">
        <f>IF($C6=0,"",INDEX('Risk Register'!$N$5:$N$297,$C6))</f>
        <v>3</v>
      </c>
      <c r="J6" s="7">
        <f>IF($C6=0,"",INDEX('Risk Register'!$O$5:$O$297,$C6))</f>
        <v>12</v>
      </c>
      <c r="K6" s="7" t="str">
        <f>IF($C6=0,"",INDEX('Risk Register'!$P$5:$P$297,$C6))</f>
        <v>High</v>
      </c>
      <c r="L6" s="9" t="str">
        <f>IF($C6=0,"",INDEX('Risk Register'!$Q$5:$Q$297,$C6))</f>
        <v>Missing Child Procedure: 1. Alert Supervisor immediately., 2. Lockdown premises (nobody in/out). 3. Systematic search (rooms, cupboards, garden). 4. Call Police/Parents if not found within 60 minutes.</v>
      </c>
      <c r="M6" s="7">
        <f>IF($C6=0,"",INDEX('Risk Register'!$R$5:$R$297,$C6))</f>
        <v>4</v>
      </c>
      <c r="N6" s="7">
        <f>IF($C6=0,"",INDEX('Risk Register'!$S$5:$S$297,$C6))</f>
        <v>3</v>
      </c>
      <c r="O6" s="7">
        <f>IF($C6=0,"",INDEX('Risk Register'!$T$5:$T$297,$C6))</f>
        <v>12</v>
      </c>
      <c r="P6" s="7" t="str">
        <f>IF($C6=0,"",INDEX('Risk Register'!$U$5:$U$297,$C6))</f>
        <v>High</v>
      </c>
      <c r="Q6" s="11">
        <f>IF($C6=0,"",INDEX('Risk Register'!$V$5:$V$297,$C6))</f>
        <v>0</v>
      </c>
    </row>
    <row r="7" spans="1:17" ht="75" customHeight="1" x14ac:dyDescent="0.25">
      <c r="A7" s="14">
        <v>3</v>
      </c>
      <c r="B7" s="7">
        <f>IFERROR(LARGE('Risk Register'!$AC$5:$AC$297,A7),0)</f>
        <v>12099991</v>
      </c>
      <c r="C7" s="7">
        <f>IF(B7&gt;0,MATCH(B7,'Risk Register'!$AC$5:$AC$297,0),0)</f>
        <v>5</v>
      </c>
      <c r="D7" s="14" t="str">
        <f>IF($C7=0,"",INDEX('Risk Register'!$B$5:$B$297,$C7))</f>
        <v>P05-C</v>
      </c>
      <c r="E7" s="7" t="str">
        <f>IF($C7=0,"",INDEX('Risk Register'!$D$5:$D$297,$C7))</f>
        <v>Perth</v>
      </c>
      <c r="F7" s="9" t="str">
        <f>IF($C7=0,"",INDEX('Risk Register'!$E$5:$E$297,$C7))</f>
        <v>Child Protection &amp; Staff Conduct Risk Assessment Reg 84, 155 &amp; 68(2)(h)</v>
      </c>
      <c r="G7" s="9" t="str">
        <f>IF($C7=0,"",INDEX('Risk Register'!$L$5:$L$297,$C7))</f>
        <v>Emotional trauma, physical injury, breach of rights.</v>
      </c>
      <c r="H7" s="7">
        <f>IF($C7=0,"",INDEX('Risk Register'!$M$5:$M$297,$C7))</f>
        <v>3</v>
      </c>
      <c r="I7" s="7">
        <f>IF($C7=0,"",INDEX('Risk Register'!$N$5:$N$297,$C7))</f>
        <v>3</v>
      </c>
      <c r="J7" s="7">
        <f>IF($C7=0,"",INDEX('Risk Register'!$O$5:$O$297,$C7))</f>
        <v>9</v>
      </c>
      <c r="K7" s="7" t="str">
        <f>IF($C7=0,"",INDEX('Risk Register'!$P$5:$P$297,$C7))</f>
        <v>Moderate</v>
      </c>
      <c r="L7" s="9" t="str">
        <f>IF($C7=0,"",INDEX('Risk Register'!$Q$5:$Q$297,$C7))</f>
        <v>The "Interactions with Children" policy prohibits corporal punishment, isolation, and shaming. Room Leaders monitor the language and tone of educators. Staff must immediately report colleague misconduct to the Approved Provider. A culture of reporting is encouraged; staff are urged to promptly report any misconduct to the Approved Provider.</v>
      </c>
      <c r="M7" s="7">
        <f>IF($C7=0,"",INDEX('Risk Register'!$R$5:$R$297,$C7))</f>
        <v>4</v>
      </c>
      <c r="N7" s="7">
        <f>IF($C7=0,"",INDEX('Risk Register'!$S$5:$S$297,$C7))</f>
        <v>3</v>
      </c>
      <c r="O7" s="7">
        <f>IF($C7=0,"",INDEX('Risk Register'!$T$5:$T$297,$C7))</f>
        <v>12</v>
      </c>
      <c r="P7" s="7" t="str">
        <f>IF($C7=0,"",INDEX('Risk Register'!$U$5:$U$297,$C7))</f>
        <v>High</v>
      </c>
      <c r="Q7" s="11">
        <f>IF($C7=0,"",INDEX('Risk Register'!$V$5:$V$297,$C7))</f>
        <v>-3</v>
      </c>
    </row>
    <row r="8" spans="1:17" ht="75" customHeight="1" x14ac:dyDescent="0.25">
      <c r="A8" s="14">
        <v>4</v>
      </c>
      <c r="B8" s="7">
        <f>IFERROR(LARGE('Risk Register'!$AC$5:$AC$297,A8),0)</f>
        <v>10159986</v>
      </c>
      <c r="C8" s="7">
        <f>IF(B8&gt;0,MATCH(B8,'Risk Register'!$AC$5:$AC$297,0),0)</f>
        <v>10</v>
      </c>
      <c r="D8" s="14" t="str">
        <f>IF($C8=0,"",INDEX('Risk Register'!$B$5:$B$297,$C8))</f>
        <v>P15-E</v>
      </c>
      <c r="E8" s="7" t="str">
        <f>IF($C8=0,"",INDEX('Risk Register'!$D$5:$D$297,$C8))</f>
        <v>Perth</v>
      </c>
      <c r="F8" s="9" t="str">
        <f>IF($C8=0,"",INDEX('Risk Register'!$E$5:$E$297,$C8))</f>
        <v>Fire Evacuation Risk Assessment (National Reg 97, 158)</v>
      </c>
      <c r="G8" s="9" t="str">
        <f>IF($C8=0,"",INDEX('Risk Register'!$L$5:$L$297,$C8))</f>
        <v>Individuals with mobility, sensory, or medical needs unable to evacuate safely</v>
      </c>
      <c r="H8" s="7">
        <f>IF($C8=0,"",INDEX('Risk Register'!$M$5:$M$297,$C8))</f>
        <v>5</v>
      </c>
      <c r="I8" s="7">
        <f>IF($C8=0,"",INDEX('Risk Register'!$N$5:$N$297,$C8))</f>
        <v>3</v>
      </c>
      <c r="J8" s="7">
        <f>IF($C8=0,"",INDEX('Risk Register'!$O$5:$O$297,$C8))</f>
        <v>15</v>
      </c>
      <c r="K8" s="7" t="str">
        <f>IF($C8=0,"",INDEX('Risk Register'!$P$5:$P$297,$C8))</f>
        <v>High</v>
      </c>
      <c r="L8" s="9" t="str">
        <f>IF($C8=0,"",INDEX('Risk Register'!$Q$5:$Q$297,$C8))</f>
        <v>Individual evacuation plans / assigned helpers; evacuation chairs/refuge areas; training for staff</v>
      </c>
      <c r="M8" s="7">
        <f>IF($C8=0,"",INDEX('Risk Register'!$R$5:$R$297,$C8))</f>
        <v>5</v>
      </c>
      <c r="N8" s="7">
        <f>IF($C8=0,"",INDEX('Risk Register'!$S$5:$S$297,$C8))</f>
        <v>2</v>
      </c>
      <c r="O8" s="7">
        <f>IF($C8=0,"",INDEX('Risk Register'!$T$5:$T$297,$C8))</f>
        <v>10</v>
      </c>
      <c r="P8" s="7" t="str">
        <f>IF($C8=0,"",INDEX('Risk Register'!$U$5:$U$297,$C8))</f>
        <v>High</v>
      </c>
      <c r="Q8" s="11">
        <f>IF($C8=0,"",INDEX('Risk Register'!$V$5:$V$297,$C8))</f>
        <v>5</v>
      </c>
    </row>
    <row r="9" spans="1:17" ht="75" customHeight="1" x14ac:dyDescent="0.25">
      <c r="A9" s="14">
        <v>5</v>
      </c>
      <c r="B9" s="7">
        <f>IFERROR(LARGE('Risk Register'!$AC$5:$AC$297,A9),0)</f>
        <v>10159985</v>
      </c>
      <c r="C9" s="7">
        <f>IF(B9&gt;0,MATCH(B9,'Risk Register'!$AC$5:$AC$297,0),0)</f>
        <v>11</v>
      </c>
      <c r="D9" s="14" t="str">
        <f>IF($C9=0,"",INDEX('Risk Register'!$B$5:$B$297,$C9))</f>
        <v>P16-A</v>
      </c>
      <c r="E9" s="7" t="str">
        <f>IF($C9=0,"",INDEX('Risk Register'!$D$5:$D$297,$C9))</f>
        <v>Perth</v>
      </c>
      <c r="F9" s="9" t="str">
        <f>IF($C9=0,"",INDEX('Risk Register'!$E$5:$E$297,$C9))</f>
        <v>Food Safety, Handling &amp; Nutrition (National Regulation 77 (Health &amp; Hygiene)), 77 and 79)</v>
      </c>
      <c r="G9" s="9" t="str">
        <f>IF($C9=0,"",INDEX('Risk Register'!$L$5:$L$297,$C9))</f>
        <v>Severe allergic reaction or death due to cross-contamination.</v>
      </c>
      <c r="H9" s="7">
        <f>IF($C9=0,"",INDEX('Risk Register'!$M$5:$M$297,$C9))</f>
        <v>5</v>
      </c>
      <c r="I9" s="7">
        <f>IF($C9=0,"",INDEX('Risk Register'!$N$5:$N$297,$C9))</f>
        <v>3</v>
      </c>
      <c r="J9" s="7">
        <f>IF($C9=0,"",INDEX('Risk Register'!$O$5:$O$297,$C9))</f>
        <v>15</v>
      </c>
      <c r="K9" s="7" t="str">
        <f>IF($C9=0,"",INDEX('Risk Register'!$P$5:$P$297,$C9))</f>
        <v>High</v>
      </c>
      <c r="L9" s="9" t="str">
        <f>IF($C9=0,"",INDEX('Risk Register'!$Q$5:$Q$297,$C9))</f>
        <v>• Allergy Lists: Current dietary list displayed in kitchen (out of public view but visible to staff). • Separate Prep: Separate chopping boards/utensils for allergy meals. Allergy meals plated and covered first. • No Nut Policy: Strict prohibition of nuts (monitor lunchboxes if families provide food).</v>
      </c>
      <c r="M9" s="7">
        <f>IF($C9=0,"",INDEX('Risk Register'!$R$5:$R$297,$C9))</f>
        <v>5</v>
      </c>
      <c r="N9" s="7">
        <f>IF($C9=0,"",INDEX('Risk Register'!$S$5:$S$297,$C9))</f>
        <v>2</v>
      </c>
      <c r="O9" s="7">
        <f>IF($C9=0,"",INDEX('Risk Register'!$T$5:$T$297,$C9))</f>
        <v>10</v>
      </c>
      <c r="P9" s="7" t="str">
        <f>IF($C9=0,"",INDEX('Risk Register'!$U$5:$U$297,$C9))</f>
        <v>High</v>
      </c>
      <c r="Q9" s="11">
        <f>IF($C9=0,"",INDEX('Risk Register'!$V$5:$V$297,$C9))</f>
        <v>5</v>
      </c>
    </row>
    <row r="10" spans="1:17" ht="75" customHeight="1" x14ac:dyDescent="0.25">
      <c r="A10" s="14">
        <v>6</v>
      </c>
      <c r="B10" s="7">
        <f>IFERROR(LARGE('Risk Register'!$AC$5:$AC$297,A10),0)</f>
        <v>10159984</v>
      </c>
      <c r="C10" s="7">
        <f>IF(B10&gt;0,MATCH(B10,'Risk Register'!$AC$5:$AC$297,0),0)</f>
        <v>12</v>
      </c>
      <c r="D10" s="14" t="str">
        <f>IF($C10=0,"",INDEX('Risk Register'!$B$5:$B$297,$C10))</f>
        <v>P23-B</v>
      </c>
      <c r="E10" s="7" t="str">
        <f>IF($C10=0,"",INDEX('Risk Register'!$D$5:$D$297,$C10))</f>
        <v>Perth</v>
      </c>
      <c r="F10" s="9" t="str">
        <f>IF($C10=0,"",INDEX('Risk Register'!$E$5:$E$297,$C10))</f>
        <v>Medical Drill/ Actual Incident (National Reg 87, 97, 101, 115)</v>
      </c>
      <c r="G10" s="9" t="str">
        <f>IF($C10=0,"",INDEX('Risk Register'!$L$5:$L$297,$C10))</f>
        <v>Incorrect response; risk of worsening condition</v>
      </c>
      <c r="H10" s="7">
        <f>IF($C10=0,"",INDEX('Risk Register'!$M$5:$M$297,$C10))</f>
        <v>5</v>
      </c>
      <c r="I10" s="7">
        <f>IF($C10=0,"",INDEX('Risk Register'!$N$5:$N$297,$C10))</f>
        <v>3</v>
      </c>
      <c r="J10" s="7">
        <f>IF($C10=0,"",INDEX('Risk Register'!$O$5:$O$297,$C10))</f>
        <v>15</v>
      </c>
      <c r="K10" s="7" t="str">
        <f>IF($C10=0,"",INDEX('Risk Register'!$P$5:$P$297,$C10))</f>
        <v>High</v>
      </c>
      <c r="L10" s="9" t="str">
        <f>IF($C10=0,"",INDEX('Risk Register'!$Q$5:$Q$297,$C10))</f>
        <v>Trained first aiders; CPR/EpiPen training; first aid kits readily available</v>
      </c>
      <c r="M10" s="7">
        <f>IF($C10=0,"",INDEX('Risk Register'!$R$5:$R$297,$C10))</f>
        <v>5</v>
      </c>
      <c r="N10" s="7">
        <f>IF($C10=0,"",INDEX('Risk Register'!$S$5:$S$297,$C10))</f>
        <v>2</v>
      </c>
      <c r="O10" s="7">
        <f>IF($C10=0,"",INDEX('Risk Register'!$T$5:$T$297,$C10))</f>
        <v>10</v>
      </c>
      <c r="P10" s="7" t="str">
        <f>IF($C10=0,"",INDEX('Risk Register'!$U$5:$U$297,$C10))</f>
        <v>High</v>
      </c>
      <c r="Q10" s="11">
        <f>IF($C10=0,"",INDEX('Risk Register'!$V$5:$V$297,$C10))</f>
        <v>5</v>
      </c>
    </row>
    <row r="11" spans="1:17" ht="75" customHeight="1" x14ac:dyDescent="0.25">
      <c r="A11" s="14">
        <v>7</v>
      </c>
      <c r="B11" s="7">
        <f>IFERROR(LARGE('Risk Register'!$AC$5:$AC$297,A11),0)</f>
        <v>10159983</v>
      </c>
      <c r="C11" s="7">
        <f>IF(B11&gt;0,MATCH(B11,'Risk Register'!$AC$5:$AC$297,0),0)</f>
        <v>13</v>
      </c>
      <c r="D11" s="14" t="str">
        <f>IF($C11=0,"",INDEX('Risk Register'!$B$5:$B$297,$C11))</f>
        <v>P29-C</v>
      </c>
      <c r="E11" s="7" t="str">
        <f>IF($C11=0,"",INDEX('Risk Register'!$D$5:$D$297,$C11))</f>
        <v>Perth</v>
      </c>
      <c r="F11" s="9" t="str">
        <f>IF($C11=0,"",INDEX('Risk Register'!$E$5:$E$297,$C11))</f>
        <v>Potential for Someone Getting Hurt (Child or Adult), Serious Incident, Damage or Reportable (National Reg 12, 103)</v>
      </c>
      <c r="G11" s="9" t="str">
        <f>IF($C11=0,"",INDEX('Risk Register'!$L$5:$L$297,$C11))</f>
        <v>Exposure to threat; children moving unsupervised; risk of injury</v>
      </c>
      <c r="H11" s="7">
        <f>IF($C11=0,"",INDEX('Risk Register'!$M$5:$M$297,$C11))</f>
        <v>5</v>
      </c>
      <c r="I11" s="7">
        <f>IF($C11=0,"",INDEX('Risk Register'!$N$5:$N$297,$C11))</f>
        <v>3</v>
      </c>
      <c r="J11" s="7">
        <f>IF($C11=0,"",INDEX('Risk Register'!$O$5:$O$297,$C11))</f>
        <v>15</v>
      </c>
      <c r="K11" s="7" t="str">
        <f>IF($C11=0,"",INDEX('Risk Register'!$P$5:$P$297,$C11))</f>
        <v>High</v>
      </c>
      <c r="L11" s="9" t="str">
        <f>IF($C11=0,"",INDEX('Risk Register'!$Q$5:$Q$297,$C11))</f>
        <v>Staff guide children to safe areas; minimise movement; clear procedure for gathering in secure rooms</v>
      </c>
      <c r="M11" s="7">
        <f>IF($C11=0,"",INDEX('Risk Register'!$R$5:$R$297,$C11))</f>
        <v>5</v>
      </c>
      <c r="N11" s="7">
        <f>IF($C11=0,"",INDEX('Risk Register'!$S$5:$S$297,$C11))</f>
        <v>2</v>
      </c>
      <c r="O11" s="7">
        <f>IF($C11=0,"",INDEX('Risk Register'!$T$5:$T$297,$C11))</f>
        <v>10</v>
      </c>
      <c r="P11" s="7" t="str">
        <f>IF($C11=0,"",INDEX('Risk Register'!$U$5:$U$297,$C11))</f>
        <v>High</v>
      </c>
      <c r="Q11" s="11">
        <f>IF($C11=0,"",INDEX('Risk Register'!$V$5:$V$297,$C11))</f>
        <v>5</v>
      </c>
    </row>
    <row r="12" spans="1:17" ht="75" customHeight="1" x14ac:dyDescent="0.25">
      <c r="A12" s="14">
        <v>8</v>
      </c>
      <c r="B12" s="7">
        <f>IFERROR(LARGE('Risk Register'!$AC$5:$AC$297,A12),0)</f>
        <v>10109981</v>
      </c>
      <c r="C12" s="7">
        <f>IF(B12&gt;0,MATCH(B12,'Risk Register'!$AC$5:$AC$297,0),0)</f>
        <v>15</v>
      </c>
      <c r="D12" s="14" t="str">
        <f>IF($C12=0,"",INDEX('Risk Register'!$B$5:$B$297,$C12))</f>
        <v>P29-E</v>
      </c>
      <c r="E12" s="7" t="str">
        <f>IF($C12=0,"",INDEX('Risk Register'!$D$5:$D$297,$C12))</f>
        <v>Perth</v>
      </c>
      <c r="F12" s="9" t="str">
        <f>IF($C12=0,"",INDEX('Risk Register'!$E$5:$E$297,$C12))</f>
        <v>Potential for Someone Getting Hurt (Child or Adult), Serious Incident, Damage or Reportable (National Reg 12, 103)</v>
      </c>
      <c r="G12" s="9" t="str">
        <f>IF($C12=0,"",INDEX('Risk Register'!$L$5:$L$297,$C12))</f>
        <v>Individuals with mobility, sensory, or medical needs unable to follow lockdown procedure</v>
      </c>
      <c r="H12" s="7">
        <f>IF($C12=0,"",INDEX('Risk Register'!$M$5:$M$297,$C12))</f>
        <v>5</v>
      </c>
      <c r="I12" s="7">
        <f>IF($C12=0,"",INDEX('Risk Register'!$N$5:$N$297,$C12))</f>
        <v>2</v>
      </c>
      <c r="J12" s="7">
        <f>IF($C12=0,"",INDEX('Risk Register'!$O$5:$O$297,$C12))</f>
        <v>10</v>
      </c>
      <c r="K12" s="7" t="str">
        <f>IF($C12=0,"",INDEX('Risk Register'!$P$5:$P$297,$C12))</f>
        <v>High</v>
      </c>
      <c r="L12" s="9" t="str">
        <f>IF($C12=0,"",INDEX('Risk Register'!$Q$5:$Q$297,$C12))</f>
        <v>Individual lockdown plans; assigned helpers; accessible safe spaces; staff training</v>
      </c>
      <c r="M12" s="7">
        <f>IF($C12=0,"",INDEX('Risk Register'!$R$5:$R$297,$C12))</f>
        <v>5</v>
      </c>
      <c r="N12" s="7">
        <f>IF($C12=0,"",INDEX('Risk Register'!$S$5:$S$297,$C12))</f>
        <v>2</v>
      </c>
      <c r="O12" s="7">
        <f>IF($C12=0,"",INDEX('Risk Register'!$T$5:$T$297,$C12))</f>
        <v>10</v>
      </c>
      <c r="P12" s="7" t="str">
        <f>IF($C12=0,"",INDEX('Risk Register'!$U$5:$U$297,$C12))</f>
        <v>High</v>
      </c>
      <c r="Q12" s="11">
        <f>IF($C12=0,"",INDEX('Risk Register'!$V$5:$V$297,$C12))</f>
        <v>0</v>
      </c>
    </row>
    <row r="13" spans="1:17" ht="75" customHeight="1" x14ac:dyDescent="0.25">
      <c r="A13" s="14">
        <v>9</v>
      </c>
      <c r="B13" s="7">
        <f>IFERROR(LARGE('Risk Register'!$AC$5:$AC$297,A13),0)</f>
        <v>10109980</v>
      </c>
      <c r="C13" s="7">
        <f>IF(B13&gt;0,MATCH(B13,'Risk Register'!$AC$5:$AC$297,0),0)</f>
        <v>16</v>
      </c>
      <c r="D13" s="14" t="str">
        <f>IF($C13=0,"",INDEX('Risk Register'!$B$5:$B$297,$C13))</f>
        <v>P36-B</v>
      </c>
      <c r="E13" s="7" t="str">
        <f>IF($C13=0,"",INDEX('Risk Register'!$D$5:$D$297,$C13))</f>
        <v>Perth</v>
      </c>
      <c r="F13" s="9" t="str">
        <f>IF($C13=0,"",INDEX('Risk Register'!$E$5:$E$297,$C13))</f>
        <v>School Event: Nursery Studio Easter Stay &amp; Play (National Reg. 101, 115, 167)</v>
      </c>
      <c r="G13" s="9" t="str">
        <f>IF($C13=0,"",INDEX('Risk Register'!$L$5:$L$297,$C13))</f>
        <v>Eating the playdough</v>
      </c>
      <c r="H13" s="7">
        <f>IF($C13=0,"",INDEX('Risk Register'!$M$5:$M$297,$C13))</f>
        <v>2</v>
      </c>
      <c r="I13" s="7">
        <f>IF($C13=0,"",INDEX('Risk Register'!$N$5:$N$297,$C13))</f>
        <v>5</v>
      </c>
      <c r="J13" s="7">
        <f>IF($C13=0,"",INDEX('Risk Register'!$O$5:$O$297,$C13))</f>
        <v>10</v>
      </c>
      <c r="K13" s="7" t="str">
        <f>IF($C13=0,"",INDEX('Risk Register'!$P$5:$P$297,$C13))</f>
        <v>Moderate</v>
      </c>
      <c r="L13" s="9" t="str">
        <f>IF($C13=0,"",INDEX('Risk Register'!$Q$5:$Q$297,$C13))</f>
        <v>Closely supervision</v>
      </c>
      <c r="M13" s="7">
        <f>IF($C13=0,"",INDEX('Risk Register'!$R$5:$R$297,$C13))</f>
        <v>2</v>
      </c>
      <c r="N13" s="7">
        <f>IF($C13=0,"",INDEX('Risk Register'!$S$5:$S$297,$C13))</f>
        <v>5</v>
      </c>
      <c r="O13" s="7">
        <f>IF($C13=0,"",INDEX('Risk Register'!$T$5:$T$297,$C13))</f>
        <v>10</v>
      </c>
      <c r="P13" s="7" t="str">
        <f>IF($C13=0,"",INDEX('Risk Register'!$U$5:$U$297,$C13))</f>
        <v>Moderate</v>
      </c>
      <c r="Q13" s="11">
        <f>IF($C13=0,"",INDEX('Risk Register'!$V$5:$V$297,$C13))</f>
        <v>0</v>
      </c>
    </row>
    <row r="14" spans="1:17" ht="75" customHeight="1" x14ac:dyDescent="0.25">
      <c r="A14" s="14">
        <v>10</v>
      </c>
      <c r="B14" s="7">
        <f>IFERROR(LARGE('Risk Register'!$AC$5:$AC$297,A14),0)</f>
        <v>9169977</v>
      </c>
      <c r="C14" s="7">
        <f>IF(B14&gt;0,MATCH(B14,'Risk Register'!$AC$5:$AC$297,0),0)</f>
        <v>19</v>
      </c>
      <c r="D14" s="14" t="str">
        <f>IF($C14=0,"",INDEX('Risk Register'!$B$5:$B$297,$C14))</f>
        <v>P45-B</v>
      </c>
      <c r="E14" s="7" t="str">
        <f>IF($C14=0,"",INDEX('Risk Register'!$D$5:$D$297,$C14))</f>
        <v>Perth</v>
      </c>
      <c r="F14" s="9" t="str">
        <f>IF($C14=0,"",INDEX('Risk Register'!$E$5:$E$297,$C14))</f>
        <v>Volunteers and Students (National Regulation 149)</v>
      </c>
      <c r="G14" s="9" t="str">
        <f>IF($C14=0,"",INDEX('Risk Register'!$L$5:$L$297,$C14))</f>
        <v>Risk of abuse by a prohibited person.</v>
      </c>
      <c r="H14" s="7">
        <f>IF($C14=0,"",INDEX('Risk Register'!$M$5:$M$297,$C14))</f>
        <v>4</v>
      </c>
      <c r="I14" s="7">
        <f>IF($C14=0,"",INDEX('Risk Register'!$N$5:$N$297,$C14))</f>
        <v>4</v>
      </c>
      <c r="J14" s="7">
        <f>IF($C14=0,"",INDEX('Risk Register'!$O$5:$O$297,$C14))</f>
        <v>16</v>
      </c>
      <c r="K14" s="7" t="str">
        <f>IF($C14=0,"",INDEX('Risk Register'!$P$5:$P$297,$C14))</f>
        <v>High</v>
      </c>
      <c r="L14" s="9" t="str">
        <f>IF($C14=0,"",INDEX('Risk Register'!$Q$5:$Q$297,$C14))</f>
        <v>• Verification: Working With Children Check (WWCC) verified online before the person enters the premises. • Register: Details entered into the Staff/Student Register (Reg 153).</v>
      </c>
      <c r="M14" s="7">
        <f>IF($C14=0,"",INDEX('Risk Register'!$R$5:$R$297,$C14))</f>
        <v>3</v>
      </c>
      <c r="N14" s="7">
        <f>IF($C14=0,"",INDEX('Risk Register'!$S$5:$S$297,$C14))</f>
        <v>3</v>
      </c>
      <c r="O14" s="7">
        <f>IF($C14=0,"",INDEX('Risk Register'!$T$5:$T$297,$C14))</f>
        <v>9</v>
      </c>
      <c r="P14" s="7" t="str">
        <f>IF($C14=0,"",INDEX('Risk Register'!$U$5:$U$297,$C14))</f>
        <v>Moderate</v>
      </c>
      <c r="Q14" s="11">
        <f>IF($C14=0,"",INDEX('Risk Register'!$V$5:$V$297,$C14))</f>
        <v>7</v>
      </c>
    </row>
    <row r="16" spans="1:17" x14ac:dyDescent="0.25">
      <c r="A16" s="15" t="str">
        <f>IF(O14="","",IF(COUNTIFS('Risk Register'!$T$5:$T$297,O14,'Risk Register'!$D$5:$D$297,"Perth")-COUNTIF(O5:O14,O14)&gt;0,COUNTIFS('Risk Register'!$T$5:$T$297,O14,'Risk Register'!$D$5:$D$297,"Perth")-COUNTIF(O5:O14,O14)&amp;" other Perth hazard(s) also have a residual score of "&amp;O14&amp;" - see the Risk Register. Cut-off within that score is by inherent score then register order.",""))</f>
        <v>12 other Perth hazard(s) also have a residual score of 9 - see the Risk Register. Cut-off within that score is by inherent score then register order.</v>
      </c>
    </row>
    <row r="18" spans="1:31" ht="15.75" x14ac:dyDescent="0.25">
      <c r="A18" s="16" t="s">
        <v>1313</v>
      </c>
      <c r="S18" s="16" t="s">
        <v>1314</v>
      </c>
    </row>
    <row r="19" spans="1:31" x14ac:dyDescent="0.25">
      <c r="S19" s="17" t="s">
        <v>1315</v>
      </c>
    </row>
    <row r="20" spans="1:31" ht="25.5" x14ac:dyDescent="0.25">
      <c r="S20" s="18" t="s">
        <v>1316</v>
      </c>
      <c r="T20" s="19" t="str">
        <f>'Scales &amp; Matrix'!B5&amp;" ("&amp;1&amp;")"</f>
        <v>Insignificant (1)</v>
      </c>
      <c r="U20" s="19" t="str">
        <f>'Scales &amp; Matrix'!B6&amp;" ("&amp;2&amp;")"</f>
        <v>Minor (2)</v>
      </c>
      <c r="V20" s="19" t="str">
        <f>'Scales &amp; Matrix'!B7&amp;" ("&amp;3&amp;")"</f>
        <v>Moderate (3)</v>
      </c>
      <c r="W20" s="19" t="str">
        <f>'Scales &amp; Matrix'!B8&amp;" ("&amp;4&amp;")"</f>
        <v>Significant (4)</v>
      </c>
      <c r="X20" s="19" t="str">
        <f>'Scales &amp; Matrix'!B9&amp;" ("&amp;5&amp;")"</f>
        <v>Major (5)</v>
      </c>
      <c r="AA20" t="str">
        <f>'Scales &amp; Matrix'!B13</f>
        <v>Moderate</v>
      </c>
      <c r="AB20" t="str">
        <f>'Scales &amp; Matrix'!C13</f>
        <v>Moderate</v>
      </c>
      <c r="AC20" t="str">
        <f>'Scales &amp; Matrix'!D13</f>
        <v>High</v>
      </c>
      <c r="AD20" t="str">
        <f>'Scales &amp; Matrix'!E13</f>
        <v>Critical</v>
      </c>
      <c r="AE20" t="str">
        <f>'Scales &amp; Matrix'!F13</f>
        <v>Critical</v>
      </c>
    </row>
    <row r="21" spans="1:31" ht="37.5" customHeight="1" x14ac:dyDescent="0.25">
      <c r="S21" s="19" t="str">
        <f>'Scales &amp; Matrix'!E9&amp;" ("&amp;5&amp;")"</f>
        <v>Almost Certain (5)</v>
      </c>
      <c r="T21" s="20" t="str">
        <f>TRIM(IF(AND($H$5=1,$I$5=5),$D$5&amp;" ","")&amp;IF(AND($H$6=1,$I$6=5),$D$6&amp;" ","")&amp;IF(AND($H$7=1,$I$7=5),$D$7&amp;" ","")&amp;IF(AND($H$8=1,$I$8=5),$D$8&amp;" ","")&amp;IF(AND($H$9=1,$I$9=5),$D$9&amp;" ","")&amp;IF(AND($H$10=1,$I$10=5),$D$10&amp;" ","")&amp;IF(AND($H$11=1,$I$11=5),$D$11&amp;" ","")&amp;IF(AND($H$12=1,$I$12=5),$D$12&amp;" ","")&amp;IF(AND($H$13=1,$I$13=5),$D$13&amp;" ","")&amp;IF(AND($H$14=1,$I$14=5),$D$14&amp;" ",""))</f>
        <v/>
      </c>
      <c r="U21" s="20" t="str">
        <f>TRIM(IF(AND($H$5=2,$I$5=5),$D$5&amp;" ","")&amp;IF(AND($H$6=2,$I$6=5),$D$6&amp;" ","")&amp;IF(AND($H$7=2,$I$7=5),$D$7&amp;" ","")&amp;IF(AND($H$8=2,$I$8=5),$D$8&amp;" ","")&amp;IF(AND($H$9=2,$I$9=5),$D$9&amp;" ","")&amp;IF(AND($H$10=2,$I$10=5),$D$10&amp;" ","")&amp;IF(AND($H$11=2,$I$11=5),$D$11&amp;" ","")&amp;IF(AND($H$12=2,$I$12=5),$D$12&amp;" ","")&amp;IF(AND($H$13=2,$I$13=5),$D$13&amp;" ","")&amp;IF(AND($H$14=2,$I$14=5),$D$14&amp;" ",""))</f>
        <v>P36-B</v>
      </c>
      <c r="V21" s="20" t="str">
        <f>TRIM(IF(AND($H$5=3,$I$5=5),$D$5&amp;" ","")&amp;IF(AND($H$6=3,$I$6=5),$D$6&amp;" ","")&amp;IF(AND($H$7=3,$I$7=5),$D$7&amp;" ","")&amp;IF(AND($H$8=3,$I$8=5),$D$8&amp;" ","")&amp;IF(AND($H$9=3,$I$9=5),$D$9&amp;" ","")&amp;IF(AND($H$10=3,$I$10=5),$D$10&amp;" ","")&amp;IF(AND($H$11=3,$I$11=5),$D$11&amp;" ","")&amp;IF(AND($H$12=3,$I$12=5),$D$12&amp;" ","")&amp;IF(AND($H$13=3,$I$13=5),$D$13&amp;" ","")&amp;IF(AND($H$14=3,$I$14=5),$D$14&amp;" ",""))</f>
        <v/>
      </c>
      <c r="W21" s="20" t="str">
        <f>TRIM(IF(AND($H$5=4,$I$5=5),$D$5&amp;" ","")&amp;IF(AND($H$6=4,$I$6=5),$D$6&amp;" ","")&amp;IF(AND($H$7=4,$I$7=5),$D$7&amp;" ","")&amp;IF(AND($H$8=4,$I$8=5),$D$8&amp;" ","")&amp;IF(AND($H$9=4,$I$9=5),$D$9&amp;" ","")&amp;IF(AND($H$10=4,$I$10=5),$D$10&amp;" ","")&amp;IF(AND($H$11=4,$I$11=5),$D$11&amp;" ","")&amp;IF(AND($H$12=4,$I$12=5),$D$12&amp;" ","")&amp;IF(AND($H$13=4,$I$13=5),$D$13&amp;" ","")&amp;IF(AND($H$14=4,$I$14=5),$D$14&amp;" ",""))</f>
        <v/>
      </c>
      <c r="X21" s="20" t="str">
        <f>TRIM(IF(AND($H$5=5,$I$5=5),$D$5&amp;" ","")&amp;IF(AND($H$6=5,$I$6=5),$D$6&amp;" ","")&amp;IF(AND($H$7=5,$I$7=5),$D$7&amp;" ","")&amp;IF(AND($H$8=5,$I$8=5),$D$8&amp;" ","")&amp;IF(AND($H$9=5,$I$9=5),$D$9&amp;" ","")&amp;IF(AND($H$10=5,$I$10=5),$D$10&amp;" ","")&amp;IF(AND($H$11=5,$I$11=5),$D$11&amp;" ","")&amp;IF(AND($H$12=5,$I$12=5),$D$12&amp;" ","")&amp;IF(AND($H$13=5,$I$13=5),$D$13&amp;" ","")&amp;IF(AND($H$14=5,$I$14=5),$D$14&amp;" ",""))</f>
        <v/>
      </c>
      <c r="AA21" t="str">
        <f>'Scales &amp; Matrix'!B14</f>
        <v>Moderate</v>
      </c>
      <c r="AB21" t="str">
        <f>'Scales &amp; Matrix'!C14</f>
        <v>Moderate</v>
      </c>
      <c r="AC21" t="str">
        <f>'Scales &amp; Matrix'!D14</f>
        <v>High</v>
      </c>
      <c r="AD21" t="str">
        <f>'Scales &amp; Matrix'!E14</f>
        <v>High</v>
      </c>
      <c r="AE21" t="str">
        <f>'Scales &amp; Matrix'!F14</f>
        <v>Critical</v>
      </c>
    </row>
    <row r="22" spans="1:31" ht="37.5" customHeight="1" x14ac:dyDescent="0.25">
      <c r="S22" s="19" t="str">
        <f>'Scales &amp; Matrix'!E8&amp;" ("&amp;4&amp;")"</f>
        <v>Likely (4)</v>
      </c>
      <c r="T22" s="20" t="str">
        <f>TRIM(IF(AND($H$5=1,$I$5=4),$D$5&amp;" ","")&amp;IF(AND($H$6=1,$I$6=4),$D$6&amp;" ","")&amp;IF(AND($H$7=1,$I$7=4),$D$7&amp;" ","")&amp;IF(AND($H$8=1,$I$8=4),$D$8&amp;" ","")&amp;IF(AND($H$9=1,$I$9=4),$D$9&amp;" ","")&amp;IF(AND($H$10=1,$I$10=4),$D$10&amp;" ","")&amp;IF(AND($H$11=1,$I$11=4),$D$11&amp;" ","")&amp;IF(AND($H$12=1,$I$12=4),$D$12&amp;" ","")&amp;IF(AND($H$13=1,$I$13=4),$D$13&amp;" ","")&amp;IF(AND($H$14=1,$I$14=4),$D$14&amp;" ",""))</f>
        <v/>
      </c>
      <c r="U22" s="20" t="str">
        <f>TRIM(IF(AND($H$5=2,$I$5=4),$D$5&amp;" ","")&amp;IF(AND($H$6=2,$I$6=4),$D$6&amp;" ","")&amp;IF(AND($H$7=2,$I$7=4),$D$7&amp;" ","")&amp;IF(AND($H$8=2,$I$8=4),$D$8&amp;" ","")&amp;IF(AND($H$9=2,$I$9=4),$D$9&amp;" ","")&amp;IF(AND($H$10=2,$I$10=4),$D$10&amp;" ","")&amp;IF(AND($H$11=2,$I$11=4),$D$11&amp;" ","")&amp;IF(AND($H$12=2,$I$12=4),$D$12&amp;" ","")&amp;IF(AND($H$13=2,$I$13=4),$D$13&amp;" ","")&amp;IF(AND($H$14=2,$I$14=4),$D$14&amp;" ",""))</f>
        <v/>
      </c>
      <c r="V22" s="20" t="str">
        <f>TRIM(IF(AND($H$5=3,$I$5=4),$D$5&amp;" ","")&amp;IF(AND($H$6=3,$I$6=4),$D$6&amp;" ","")&amp;IF(AND($H$7=3,$I$7=4),$D$7&amp;" ","")&amp;IF(AND($H$8=3,$I$8=4),$D$8&amp;" ","")&amp;IF(AND($H$9=3,$I$9=4),$D$9&amp;" ","")&amp;IF(AND($H$10=3,$I$10=4),$D$10&amp;" ","")&amp;IF(AND($H$11=3,$I$11=4),$D$11&amp;" ","")&amp;IF(AND($H$12=3,$I$12=4),$D$12&amp;" ","")&amp;IF(AND($H$13=3,$I$13=4),$D$13&amp;" ","")&amp;IF(AND($H$14=3,$I$14=4),$D$14&amp;" ",""))</f>
        <v/>
      </c>
      <c r="W22" s="20" t="str">
        <f>TRIM(IF(AND($H$5=4,$I$5=4),$D$5&amp;" ","")&amp;IF(AND($H$6=4,$I$6=4),$D$6&amp;" ","")&amp;IF(AND($H$7=4,$I$7=4),$D$7&amp;" ","")&amp;IF(AND($H$8=4,$I$8=4),$D$8&amp;" ","")&amp;IF(AND($H$9=4,$I$9=4),$D$9&amp;" ","")&amp;IF(AND($H$10=4,$I$10=4),$D$10&amp;" ","")&amp;IF(AND($H$11=4,$I$11=4),$D$11&amp;" ","")&amp;IF(AND($H$12=4,$I$12=4),$D$12&amp;" ","")&amp;IF(AND($H$13=4,$I$13=4),$D$13&amp;" ","")&amp;IF(AND($H$14=4,$I$14=4),$D$14&amp;" ",""))</f>
        <v>P45-B</v>
      </c>
      <c r="X22" s="20" t="str">
        <f>TRIM(IF(AND($H$5=5,$I$5=4),$D$5&amp;" ","")&amp;IF(AND($H$6=5,$I$6=4),$D$6&amp;" ","")&amp;IF(AND($H$7=5,$I$7=4),$D$7&amp;" ","")&amp;IF(AND($H$8=5,$I$8=4),$D$8&amp;" ","")&amp;IF(AND($H$9=5,$I$9=4),$D$9&amp;" ","")&amp;IF(AND($H$10=5,$I$10=4),$D$10&amp;" ","")&amp;IF(AND($H$11=5,$I$11=4),$D$11&amp;" ","")&amp;IF(AND($H$12=5,$I$12=4),$D$12&amp;" ","")&amp;IF(AND($H$13=5,$I$13=4),$D$13&amp;" ","")&amp;IF(AND($H$14=5,$I$14=4),$D$14&amp;" ",""))</f>
        <v/>
      </c>
      <c r="AA22" t="str">
        <f>'Scales &amp; Matrix'!B15</f>
        <v>Low</v>
      </c>
      <c r="AB22" t="str">
        <f>'Scales &amp; Matrix'!C15</f>
        <v>Moderate</v>
      </c>
      <c r="AC22" t="str">
        <f>'Scales &amp; Matrix'!D15</f>
        <v>Moderate</v>
      </c>
      <c r="AD22" t="str">
        <f>'Scales &amp; Matrix'!E15</f>
        <v>High</v>
      </c>
      <c r="AE22" t="str">
        <f>'Scales &amp; Matrix'!F15</f>
        <v>High</v>
      </c>
    </row>
    <row r="23" spans="1:31" ht="37.5" customHeight="1" x14ac:dyDescent="0.25">
      <c r="S23" s="19" t="str">
        <f>'Scales &amp; Matrix'!E7&amp;" ("&amp;3&amp;")"</f>
        <v>Possible (3)</v>
      </c>
      <c r="T23" s="20" t="str">
        <f>TRIM(IF(AND($H$5=1,$I$5=3),$D$5&amp;" ","")&amp;IF(AND($H$6=1,$I$6=3),$D$6&amp;" ","")&amp;IF(AND($H$7=1,$I$7=3),$D$7&amp;" ","")&amp;IF(AND($H$8=1,$I$8=3),$D$8&amp;" ","")&amp;IF(AND($H$9=1,$I$9=3),$D$9&amp;" ","")&amp;IF(AND($H$10=1,$I$10=3),$D$10&amp;" ","")&amp;IF(AND($H$11=1,$I$11=3),$D$11&amp;" ","")&amp;IF(AND($H$12=1,$I$12=3),$D$12&amp;" ","")&amp;IF(AND($H$13=1,$I$13=3),$D$13&amp;" ","")&amp;IF(AND($H$14=1,$I$14=3),$D$14&amp;" ",""))</f>
        <v/>
      </c>
      <c r="U23" s="20" t="str">
        <f>TRIM(IF(AND($H$5=2,$I$5=3),$D$5&amp;" ","")&amp;IF(AND($H$6=2,$I$6=3),$D$6&amp;" ","")&amp;IF(AND($H$7=2,$I$7=3),$D$7&amp;" ","")&amp;IF(AND($H$8=2,$I$8=3),$D$8&amp;" ","")&amp;IF(AND($H$9=2,$I$9=3),$D$9&amp;" ","")&amp;IF(AND($H$10=2,$I$10=3),$D$10&amp;" ","")&amp;IF(AND($H$11=2,$I$11=3),$D$11&amp;" ","")&amp;IF(AND($H$12=2,$I$12=3),$D$12&amp;" ","")&amp;IF(AND($H$13=2,$I$13=3),$D$13&amp;" ","")&amp;IF(AND($H$14=2,$I$14=3),$D$14&amp;" ",""))</f>
        <v/>
      </c>
      <c r="V23" s="20" t="str">
        <f>TRIM(IF(AND($H$5=3,$I$5=3),$D$5&amp;" ","")&amp;IF(AND($H$6=3,$I$6=3),$D$6&amp;" ","")&amp;IF(AND($H$7=3,$I$7=3),$D$7&amp;" ","")&amp;IF(AND($H$8=3,$I$8=3),$D$8&amp;" ","")&amp;IF(AND($H$9=3,$I$9=3),$D$9&amp;" ","")&amp;IF(AND($H$10=3,$I$10=3),$D$10&amp;" ","")&amp;IF(AND($H$11=3,$I$11=3),$D$11&amp;" ","")&amp;IF(AND($H$12=3,$I$12=3),$D$12&amp;" ","")&amp;IF(AND($H$13=3,$I$13=3),$D$13&amp;" ","")&amp;IF(AND($H$14=3,$I$14=3),$D$14&amp;" ",""))</f>
        <v>P05-C</v>
      </c>
      <c r="W23" s="20" t="str">
        <f>TRIM(IF(AND($H$5=4,$I$5=3),$D$5&amp;" ","")&amp;IF(AND($H$6=4,$I$6=3),$D$6&amp;" ","")&amp;IF(AND($H$7=4,$I$7=3),$D$7&amp;" ","")&amp;IF(AND($H$8=4,$I$8=3),$D$8&amp;" ","")&amp;IF(AND($H$9=4,$I$9=3),$D$9&amp;" ","")&amp;IF(AND($H$10=4,$I$10=3),$D$10&amp;" ","")&amp;IF(AND($H$11=4,$I$11=3),$D$11&amp;" ","")&amp;IF(AND($H$12=4,$I$12=3),$D$12&amp;" ","")&amp;IF(AND($H$13=4,$I$13=3),$D$13&amp;" ","")&amp;IF(AND($H$14=4,$I$14=3),$D$14&amp;" ",""))</f>
        <v>P18-E</v>
      </c>
      <c r="X23" s="20" t="str">
        <f>TRIM(IF(AND($H$5=5,$I$5=3),$D$5&amp;" ","")&amp;IF(AND($H$6=5,$I$6=3),$D$6&amp;" ","")&amp;IF(AND($H$7=5,$I$7=3),$D$7&amp;" ","")&amp;IF(AND($H$8=5,$I$8=3),$D$8&amp;" ","")&amp;IF(AND($H$9=5,$I$9=3),$D$9&amp;" ","")&amp;IF(AND($H$10=5,$I$10=3),$D$10&amp;" ","")&amp;IF(AND($H$11=5,$I$11=3),$D$11&amp;" ","")&amp;IF(AND($H$12=5,$I$12=3),$D$12&amp;" ","")&amp;IF(AND($H$13=5,$I$13=3),$D$13&amp;" ","")&amp;IF(AND($H$14=5,$I$14=3),$D$14&amp;" ",""))</f>
        <v>P36-C P15-E P16-A P23-B P29-C</v>
      </c>
      <c r="AA23" t="str">
        <f>'Scales &amp; Matrix'!B16</f>
        <v>Very Low</v>
      </c>
      <c r="AB23" t="str">
        <f>'Scales &amp; Matrix'!C16</f>
        <v>Low</v>
      </c>
      <c r="AC23" t="str">
        <f>'Scales &amp; Matrix'!D16</f>
        <v>Moderate</v>
      </c>
      <c r="AD23" t="str">
        <f>'Scales &amp; Matrix'!E16</f>
        <v>Moderate</v>
      </c>
      <c r="AE23" t="str">
        <f>'Scales &amp; Matrix'!F16</f>
        <v>High</v>
      </c>
    </row>
    <row r="24" spans="1:31" ht="37.5" customHeight="1" x14ac:dyDescent="0.25">
      <c r="S24" s="19" t="str">
        <f>'Scales &amp; Matrix'!E6&amp;" ("&amp;2&amp;")"</f>
        <v>Unlikely (2)</v>
      </c>
      <c r="T24" s="20" t="str">
        <f>TRIM(IF(AND($H$5=1,$I$5=2),$D$5&amp;" ","")&amp;IF(AND($H$6=1,$I$6=2),$D$6&amp;" ","")&amp;IF(AND($H$7=1,$I$7=2),$D$7&amp;" ","")&amp;IF(AND($H$8=1,$I$8=2),$D$8&amp;" ","")&amp;IF(AND($H$9=1,$I$9=2),$D$9&amp;" ","")&amp;IF(AND($H$10=1,$I$10=2),$D$10&amp;" ","")&amp;IF(AND($H$11=1,$I$11=2),$D$11&amp;" ","")&amp;IF(AND($H$12=1,$I$12=2),$D$12&amp;" ","")&amp;IF(AND($H$13=1,$I$13=2),$D$13&amp;" ","")&amp;IF(AND($H$14=1,$I$14=2),$D$14&amp;" ",""))</f>
        <v/>
      </c>
      <c r="U24" s="20" t="str">
        <f>TRIM(IF(AND($H$5=2,$I$5=2),$D$5&amp;" ","")&amp;IF(AND($H$6=2,$I$6=2),$D$6&amp;" ","")&amp;IF(AND($H$7=2,$I$7=2),$D$7&amp;" ","")&amp;IF(AND($H$8=2,$I$8=2),$D$8&amp;" ","")&amp;IF(AND($H$9=2,$I$9=2),$D$9&amp;" ","")&amp;IF(AND($H$10=2,$I$10=2),$D$10&amp;" ","")&amp;IF(AND($H$11=2,$I$11=2),$D$11&amp;" ","")&amp;IF(AND($H$12=2,$I$12=2),$D$12&amp;" ","")&amp;IF(AND($H$13=2,$I$13=2),$D$13&amp;" ","")&amp;IF(AND($H$14=2,$I$14=2),$D$14&amp;" ",""))</f>
        <v/>
      </c>
      <c r="V24" s="20" t="str">
        <f>TRIM(IF(AND($H$5=3,$I$5=2),$D$5&amp;" ","")&amp;IF(AND($H$6=3,$I$6=2),$D$6&amp;" ","")&amp;IF(AND($H$7=3,$I$7=2),$D$7&amp;" ","")&amp;IF(AND($H$8=3,$I$8=2),$D$8&amp;" ","")&amp;IF(AND($H$9=3,$I$9=2),$D$9&amp;" ","")&amp;IF(AND($H$10=3,$I$10=2),$D$10&amp;" ","")&amp;IF(AND($H$11=3,$I$11=2),$D$11&amp;" ","")&amp;IF(AND($H$12=3,$I$12=2),$D$12&amp;" ","")&amp;IF(AND($H$13=3,$I$13=2),$D$13&amp;" ","")&amp;IF(AND($H$14=3,$I$14=2),$D$14&amp;" ",""))</f>
        <v/>
      </c>
      <c r="W24" s="20" t="str">
        <f>TRIM(IF(AND($H$5=4,$I$5=2),$D$5&amp;" ","")&amp;IF(AND($H$6=4,$I$6=2),$D$6&amp;" ","")&amp;IF(AND($H$7=4,$I$7=2),$D$7&amp;" ","")&amp;IF(AND($H$8=4,$I$8=2),$D$8&amp;" ","")&amp;IF(AND($H$9=4,$I$9=2),$D$9&amp;" ","")&amp;IF(AND($H$10=4,$I$10=2),$D$10&amp;" ","")&amp;IF(AND($H$11=4,$I$11=2),$D$11&amp;" ","")&amp;IF(AND($H$12=4,$I$12=2),$D$12&amp;" ","")&amp;IF(AND($H$13=4,$I$13=2),$D$13&amp;" ","")&amp;IF(AND($H$14=4,$I$14=2),$D$14&amp;" ",""))</f>
        <v/>
      </c>
      <c r="X24" s="20" t="str">
        <f>TRIM(IF(AND($H$5=5,$I$5=2),$D$5&amp;" ","")&amp;IF(AND($H$6=5,$I$6=2),$D$6&amp;" ","")&amp;IF(AND($H$7=5,$I$7=2),$D$7&amp;" ","")&amp;IF(AND($H$8=5,$I$8=2),$D$8&amp;" ","")&amp;IF(AND($H$9=5,$I$9=2),$D$9&amp;" ","")&amp;IF(AND($H$10=5,$I$10=2),$D$10&amp;" ","")&amp;IF(AND($H$11=5,$I$11=2),$D$11&amp;" ","")&amp;IF(AND($H$12=5,$I$12=2),$D$12&amp;" ","")&amp;IF(AND($H$13=5,$I$13=2),$D$13&amp;" ","")&amp;IF(AND($H$14=5,$I$14=2),$D$14&amp;" ",""))</f>
        <v>P29-E</v>
      </c>
      <c r="AA24" t="str">
        <f>'Scales &amp; Matrix'!B17</f>
        <v>Very Low</v>
      </c>
      <c r="AB24" t="str">
        <f>'Scales &amp; Matrix'!C17</f>
        <v>Very Low</v>
      </c>
      <c r="AC24" t="str">
        <f>'Scales &amp; Matrix'!D17</f>
        <v>Low</v>
      </c>
      <c r="AD24" t="str">
        <f>'Scales &amp; Matrix'!E17</f>
        <v>Moderate</v>
      </c>
      <c r="AE24" t="str">
        <f>'Scales &amp; Matrix'!F17</f>
        <v>Moderate</v>
      </c>
    </row>
    <row r="25" spans="1:31" ht="37.5" customHeight="1" x14ac:dyDescent="0.25">
      <c r="S25" s="19" t="str">
        <f>'Scales &amp; Matrix'!E5&amp;" ("&amp;1&amp;")"</f>
        <v>Rare (1)</v>
      </c>
      <c r="T25" s="20" t="str">
        <f>TRIM(IF(AND($H$5=1,$I$5=1),$D$5&amp;" ","")&amp;IF(AND($H$6=1,$I$6=1),$D$6&amp;" ","")&amp;IF(AND($H$7=1,$I$7=1),$D$7&amp;" ","")&amp;IF(AND($H$8=1,$I$8=1),$D$8&amp;" ","")&amp;IF(AND($H$9=1,$I$9=1),$D$9&amp;" ","")&amp;IF(AND($H$10=1,$I$10=1),$D$10&amp;" ","")&amp;IF(AND($H$11=1,$I$11=1),$D$11&amp;" ","")&amp;IF(AND($H$12=1,$I$12=1),$D$12&amp;" ","")&amp;IF(AND($H$13=1,$I$13=1),$D$13&amp;" ","")&amp;IF(AND($H$14=1,$I$14=1),$D$14&amp;" ",""))</f>
        <v/>
      </c>
      <c r="U25" s="20" t="str">
        <f>TRIM(IF(AND($H$5=2,$I$5=1),$D$5&amp;" ","")&amp;IF(AND($H$6=2,$I$6=1),$D$6&amp;" ","")&amp;IF(AND($H$7=2,$I$7=1),$D$7&amp;" ","")&amp;IF(AND($H$8=2,$I$8=1),$D$8&amp;" ","")&amp;IF(AND($H$9=2,$I$9=1),$D$9&amp;" ","")&amp;IF(AND($H$10=2,$I$10=1),$D$10&amp;" ","")&amp;IF(AND($H$11=2,$I$11=1),$D$11&amp;" ","")&amp;IF(AND($H$12=2,$I$12=1),$D$12&amp;" ","")&amp;IF(AND($H$13=2,$I$13=1),$D$13&amp;" ","")&amp;IF(AND($H$14=2,$I$14=1),$D$14&amp;" ",""))</f>
        <v/>
      </c>
      <c r="V25" s="20" t="str">
        <f>TRIM(IF(AND($H$5=3,$I$5=1),$D$5&amp;" ","")&amp;IF(AND($H$6=3,$I$6=1),$D$6&amp;" ","")&amp;IF(AND($H$7=3,$I$7=1),$D$7&amp;" ","")&amp;IF(AND($H$8=3,$I$8=1),$D$8&amp;" ","")&amp;IF(AND($H$9=3,$I$9=1),$D$9&amp;" ","")&amp;IF(AND($H$10=3,$I$10=1),$D$10&amp;" ","")&amp;IF(AND($H$11=3,$I$11=1),$D$11&amp;" ","")&amp;IF(AND($H$12=3,$I$12=1),$D$12&amp;" ","")&amp;IF(AND($H$13=3,$I$13=1),$D$13&amp;" ","")&amp;IF(AND($H$14=3,$I$14=1),$D$14&amp;" ",""))</f>
        <v/>
      </c>
      <c r="W25" s="20" t="str">
        <f>TRIM(IF(AND($H$5=4,$I$5=1),$D$5&amp;" ","")&amp;IF(AND($H$6=4,$I$6=1),$D$6&amp;" ","")&amp;IF(AND($H$7=4,$I$7=1),$D$7&amp;" ","")&amp;IF(AND($H$8=4,$I$8=1),$D$8&amp;" ","")&amp;IF(AND($H$9=4,$I$9=1),$D$9&amp;" ","")&amp;IF(AND($H$10=4,$I$10=1),$D$10&amp;" ","")&amp;IF(AND($H$11=4,$I$11=1),$D$11&amp;" ","")&amp;IF(AND($H$12=4,$I$12=1),$D$12&amp;" ","")&amp;IF(AND($H$13=4,$I$13=1),$D$13&amp;" ","")&amp;IF(AND($H$14=4,$I$14=1),$D$14&amp;" ",""))</f>
        <v/>
      </c>
      <c r="X25" s="20" t="str">
        <f>TRIM(IF(AND($H$5=5,$I$5=1),$D$5&amp;" ","")&amp;IF(AND($H$6=5,$I$6=1),$D$6&amp;" ","")&amp;IF(AND($H$7=5,$I$7=1),$D$7&amp;" ","")&amp;IF(AND($H$8=5,$I$8=1),$D$8&amp;" ","")&amp;IF(AND($H$9=5,$I$9=1),$D$9&amp;" ","")&amp;IF(AND($H$10=5,$I$10=1),$D$10&amp;" ","")&amp;IF(AND($H$11=5,$I$11=1),$D$11&amp;" ","")&amp;IF(AND($H$12=5,$I$12=1),$D$12&amp;" ","")&amp;IF(AND($H$13=5,$I$13=1),$D$13&amp;" ","")&amp;IF(AND($H$14=5,$I$14=1),$D$14&amp;" ",""))</f>
        <v/>
      </c>
    </row>
    <row r="27" spans="1:31" x14ac:dyDescent="0.25">
      <c r="S27" s="17" t="s">
        <v>1317</v>
      </c>
    </row>
    <row r="28" spans="1:31" ht="25.5" x14ac:dyDescent="0.25">
      <c r="S28" s="18" t="s">
        <v>1316</v>
      </c>
      <c r="T28" s="19" t="str">
        <f>'Scales &amp; Matrix'!B5&amp;" ("&amp;1&amp;")"</f>
        <v>Insignificant (1)</v>
      </c>
      <c r="U28" s="19" t="str">
        <f>'Scales &amp; Matrix'!B6&amp;" ("&amp;2&amp;")"</f>
        <v>Minor (2)</v>
      </c>
      <c r="V28" s="19" t="str">
        <f>'Scales &amp; Matrix'!B7&amp;" ("&amp;3&amp;")"</f>
        <v>Moderate (3)</v>
      </c>
      <c r="W28" s="19" t="str">
        <f>'Scales &amp; Matrix'!B8&amp;" ("&amp;4&amp;")"</f>
        <v>Significant (4)</v>
      </c>
      <c r="X28" s="19" t="str">
        <f>'Scales &amp; Matrix'!B9&amp;" ("&amp;5&amp;")"</f>
        <v>Major (5)</v>
      </c>
    </row>
    <row r="29" spans="1:31" ht="37.5" customHeight="1" x14ac:dyDescent="0.25">
      <c r="S29" s="19" t="str">
        <f>'Scales &amp; Matrix'!E9&amp;" ("&amp;5&amp;")"</f>
        <v>Almost Certain (5)</v>
      </c>
      <c r="T29" s="20" t="str">
        <f>TRIM(IF(AND($M$5=1,$N$5=5),$D$5&amp;" ","")&amp;IF(AND($M$6=1,$N$6=5),$D$6&amp;" ","")&amp;IF(AND($M$7=1,$N$7=5),$D$7&amp;" ","")&amp;IF(AND($M$8=1,$N$8=5),$D$8&amp;" ","")&amp;IF(AND($M$9=1,$N$9=5),$D$9&amp;" ","")&amp;IF(AND($M$10=1,$N$10=5),$D$10&amp;" ","")&amp;IF(AND($M$11=1,$N$11=5),$D$11&amp;" ","")&amp;IF(AND($M$12=1,$N$12=5),$D$12&amp;" ","")&amp;IF(AND($M$13=1,$N$13=5),$D$13&amp;" ","")&amp;IF(AND($M$14=1,$N$14=5),$D$14&amp;" ",""))</f>
        <v/>
      </c>
      <c r="U29" s="20" t="str">
        <f>TRIM(IF(AND($M$5=2,$N$5=5),$D$5&amp;" ","")&amp;IF(AND($M$6=2,$N$6=5),$D$6&amp;" ","")&amp;IF(AND($M$7=2,$N$7=5),$D$7&amp;" ","")&amp;IF(AND($M$8=2,$N$8=5),$D$8&amp;" ","")&amp;IF(AND($M$9=2,$N$9=5),$D$9&amp;" ","")&amp;IF(AND($M$10=2,$N$10=5),$D$10&amp;" ","")&amp;IF(AND($M$11=2,$N$11=5),$D$11&amp;" ","")&amp;IF(AND($M$12=2,$N$12=5),$D$12&amp;" ","")&amp;IF(AND($M$13=2,$N$13=5),$D$13&amp;" ","")&amp;IF(AND($M$14=2,$N$14=5),$D$14&amp;" ",""))</f>
        <v>P36-B</v>
      </c>
      <c r="V29" s="20" t="str">
        <f>TRIM(IF(AND($M$5=3,$N$5=5),$D$5&amp;" ","")&amp;IF(AND($M$6=3,$N$6=5),$D$6&amp;" ","")&amp;IF(AND($M$7=3,$N$7=5),$D$7&amp;" ","")&amp;IF(AND($M$8=3,$N$8=5),$D$8&amp;" ","")&amp;IF(AND($M$9=3,$N$9=5),$D$9&amp;" ","")&amp;IF(AND($M$10=3,$N$10=5),$D$10&amp;" ","")&amp;IF(AND($M$11=3,$N$11=5),$D$11&amp;" ","")&amp;IF(AND($M$12=3,$N$12=5),$D$12&amp;" ","")&amp;IF(AND($M$13=3,$N$13=5),$D$13&amp;" ","")&amp;IF(AND($M$14=3,$N$14=5),$D$14&amp;" ",""))</f>
        <v/>
      </c>
      <c r="W29" s="20" t="str">
        <f>TRIM(IF(AND($M$5=4,$N$5=5),$D$5&amp;" ","")&amp;IF(AND($M$6=4,$N$6=5),$D$6&amp;" ","")&amp;IF(AND($M$7=4,$N$7=5),$D$7&amp;" ","")&amp;IF(AND($M$8=4,$N$8=5),$D$8&amp;" ","")&amp;IF(AND($M$9=4,$N$9=5),$D$9&amp;" ","")&amp;IF(AND($M$10=4,$N$10=5),$D$10&amp;" ","")&amp;IF(AND($M$11=4,$N$11=5),$D$11&amp;" ","")&amp;IF(AND($M$12=4,$N$12=5),$D$12&amp;" ","")&amp;IF(AND($M$13=4,$N$13=5),$D$13&amp;" ","")&amp;IF(AND($M$14=4,$N$14=5),$D$14&amp;" ",""))</f>
        <v/>
      </c>
      <c r="X29" s="20" t="str">
        <f>TRIM(IF(AND($M$5=5,$N$5=5),$D$5&amp;" ","")&amp;IF(AND($M$6=5,$N$6=5),$D$6&amp;" ","")&amp;IF(AND($M$7=5,$N$7=5),$D$7&amp;" ","")&amp;IF(AND($M$8=5,$N$8=5),$D$8&amp;" ","")&amp;IF(AND($M$9=5,$N$9=5),$D$9&amp;" ","")&amp;IF(AND($M$10=5,$N$10=5),$D$10&amp;" ","")&amp;IF(AND($M$11=5,$N$11=5),$D$11&amp;" ","")&amp;IF(AND($M$12=5,$N$12=5),$D$12&amp;" ","")&amp;IF(AND($M$13=5,$N$13=5),$D$13&amp;" ","")&amp;IF(AND($M$14=5,$N$14=5),$D$14&amp;" ",""))</f>
        <v/>
      </c>
    </row>
    <row r="30" spans="1:31" ht="37.5" customHeight="1" x14ac:dyDescent="0.25">
      <c r="S30" s="19" t="str">
        <f>'Scales &amp; Matrix'!E8&amp;" ("&amp;4&amp;")"</f>
        <v>Likely (4)</v>
      </c>
      <c r="T30" s="20" t="str">
        <f>TRIM(IF(AND($M$5=1,$N$5=4),$D$5&amp;" ","")&amp;IF(AND($M$6=1,$N$6=4),$D$6&amp;" ","")&amp;IF(AND($M$7=1,$N$7=4),$D$7&amp;" ","")&amp;IF(AND($M$8=1,$N$8=4),$D$8&amp;" ","")&amp;IF(AND($M$9=1,$N$9=4),$D$9&amp;" ","")&amp;IF(AND($M$10=1,$N$10=4),$D$10&amp;" ","")&amp;IF(AND($M$11=1,$N$11=4),$D$11&amp;" ","")&amp;IF(AND($M$12=1,$N$12=4),$D$12&amp;" ","")&amp;IF(AND($M$13=1,$N$13=4),$D$13&amp;" ","")&amp;IF(AND($M$14=1,$N$14=4),$D$14&amp;" ",""))</f>
        <v/>
      </c>
      <c r="U30" s="20" t="str">
        <f>TRIM(IF(AND($M$5=2,$N$5=4),$D$5&amp;" ","")&amp;IF(AND($M$6=2,$N$6=4),$D$6&amp;" ","")&amp;IF(AND($M$7=2,$N$7=4),$D$7&amp;" ","")&amp;IF(AND($M$8=2,$N$8=4),$D$8&amp;" ","")&amp;IF(AND($M$9=2,$N$9=4),$D$9&amp;" ","")&amp;IF(AND($M$10=2,$N$10=4),$D$10&amp;" ","")&amp;IF(AND($M$11=2,$N$11=4),$D$11&amp;" ","")&amp;IF(AND($M$12=2,$N$12=4),$D$12&amp;" ","")&amp;IF(AND($M$13=2,$N$13=4),$D$13&amp;" ","")&amp;IF(AND($M$14=2,$N$14=4),$D$14&amp;" ",""))</f>
        <v/>
      </c>
      <c r="V30" s="20" t="str">
        <f>TRIM(IF(AND($M$5=3,$N$5=4),$D$5&amp;" ","")&amp;IF(AND($M$6=3,$N$6=4),$D$6&amp;" ","")&amp;IF(AND($M$7=3,$N$7=4),$D$7&amp;" ","")&amp;IF(AND($M$8=3,$N$8=4),$D$8&amp;" ","")&amp;IF(AND($M$9=3,$N$9=4),$D$9&amp;" ","")&amp;IF(AND($M$10=3,$N$10=4),$D$10&amp;" ","")&amp;IF(AND($M$11=3,$N$11=4),$D$11&amp;" ","")&amp;IF(AND($M$12=3,$N$12=4),$D$12&amp;" ","")&amp;IF(AND($M$13=3,$N$13=4),$D$13&amp;" ","")&amp;IF(AND($M$14=3,$N$14=4),$D$14&amp;" ",""))</f>
        <v/>
      </c>
      <c r="W30" s="20" t="str">
        <f>TRIM(IF(AND($M$5=4,$N$5=4),$D$5&amp;" ","")&amp;IF(AND($M$6=4,$N$6=4),$D$6&amp;" ","")&amp;IF(AND($M$7=4,$N$7=4),$D$7&amp;" ","")&amp;IF(AND($M$8=4,$N$8=4),$D$8&amp;" ","")&amp;IF(AND($M$9=4,$N$9=4),$D$9&amp;" ","")&amp;IF(AND($M$10=4,$N$10=4),$D$10&amp;" ","")&amp;IF(AND($M$11=4,$N$11=4),$D$11&amp;" ","")&amp;IF(AND($M$12=4,$N$12=4),$D$12&amp;" ","")&amp;IF(AND($M$13=4,$N$13=4),$D$13&amp;" ","")&amp;IF(AND($M$14=4,$N$14=4),$D$14&amp;" ",""))</f>
        <v/>
      </c>
      <c r="X30" s="20" t="str">
        <f>TRIM(IF(AND($M$5=5,$N$5=4),$D$5&amp;" ","")&amp;IF(AND($M$6=5,$N$6=4),$D$6&amp;" ","")&amp;IF(AND($M$7=5,$N$7=4),$D$7&amp;" ","")&amp;IF(AND($M$8=5,$N$8=4),$D$8&amp;" ","")&amp;IF(AND($M$9=5,$N$9=4),$D$9&amp;" ","")&amp;IF(AND($M$10=5,$N$10=4),$D$10&amp;" ","")&amp;IF(AND($M$11=5,$N$11=4),$D$11&amp;" ","")&amp;IF(AND($M$12=5,$N$12=4),$D$12&amp;" ","")&amp;IF(AND($M$13=5,$N$13=4),$D$13&amp;" ","")&amp;IF(AND($M$14=5,$N$14=4),$D$14&amp;" ",""))</f>
        <v/>
      </c>
    </row>
    <row r="31" spans="1:31" ht="37.5" customHeight="1" x14ac:dyDescent="0.25">
      <c r="S31" s="19" t="str">
        <f>'Scales &amp; Matrix'!E7&amp;" ("&amp;3&amp;")"</f>
        <v>Possible (3)</v>
      </c>
      <c r="T31" s="20" t="str">
        <f>TRIM(IF(AND($M$5=1,$N$5=3),$D$5&amp;" ","")&amp;IF(AND($M$6=1,$N$6=3),$D$6&amp;" ","")&amp;IF(AND($M$7=1,$N$7=3),$D$7&amp;" ","")&amp;IF(AND($M$8=1,$N$8=3),$D$8&amp;" ","")&amp;IF(AND($M$9=1,$N$9=3),$D$9&amp;" ","")&amp;IF(AND($M$10=1,$N$10=3),$D$10&amp;" ","")&amp;IF(AND($M$11=1,$N$11=3),$D$11&amp;" ","")&amp;IF(AND($M$12=1,$N$12=3),$D$12&amp;" ","")&amp;IF(AND($M$13=1,$N$13=3),$D$13&amp;" ","")&amp;IF(AND($M$14=1,$N$14=3),$D$14&amp;" ",""))</f>
        <v/>
      </c>
      <c r="U31" s="20" t="str">
        <f>TRIM(IF(AND($M$5=2,$N$5=3),$D$5&amp;" ","")&amp;IF(AND($M$6=2,$N$6=3),$D$6&amp;" ","")&amp;IF(AND($M$7=2,$N$7=3),$D$7&amp;" ","")&amp;IF(AND($M$8=2,$N$8=3),$D$8&amp;" ","")&amp;IF(AND($M$9=2,$N$9=3),$D$9&amp;" ","")&amp;IF(AND($M$10=2,$N$10=3),$D$10&amp;" ","")&amp;IF(AND($M$11=2,$N$11=3),$D$11&amp;" ","")&amp;IF(AND($M$12=2,$N$12=3),$D$12&amp;" ","")&amp;IF(AND($M$13=2,$N$13=3),$D$13&amp;" ","")&amp;IF(AND($M$14=2,$N$14=3),$D$14&amp;" ",""))</f>
        <v/>
      </c>
      <c r="V31" s="20" t="str">
        <f>TRIM(IF(AND($M$5=3,$N$5=3),$D$5&amp;" ","")&amp;IF(AND($M$6=3,$N$6=3),$D$6&amp;" ","")&amp;IF(AND($M$7=3,$N$7=3),$D$7&amp;" ","")&amp;IF(AND($M$8=3,$N$8=3),$D$8&amp;" ","")&amp;IF(AND($M$9=3,$N$9=3),$D$9&amp;" ","")&amp;IF(AND($M$10=3,$N$10=3),$D$10&amp;" ","")&amp;IF(AND($M$11=3,$N$11=3),$D$11&amp;" ","")&amp;IF(AND($M$12=3,$N$12=3),$D$12&amp;" ","")&amp;IF(AND($M$13=3,$N$13=3),$D$13&amp;" ","")&amp;IF(AND($M$14=3,$N$14=3),$D$14&amp;" ",""))</f>
        <v>P45-B</v>
      </c>
      <c r="W31" s="20" t="str">
        <f>TRIM(IF(AND($M$5=4,$N$5=3),$D$5&amp;" ","")&amp;IF(AND($M$6=4,$N$6=3),$D$6&amp;" ","")&amp;IF(AND($M$7=4,$N$7=3),$D$7&amp;" ","")&amp;IF(AND($M$8=4,$N$8=3),$D$8&amp;" ","")&amp;IF(AND($M$9=4,$N$9=3),$D$9&amp;" ","")&amp;IF(AND($M$10=4,$N$10=3),$D$10&amp;" ","")&amp;IF(AND($M$11=4,$N$11=3),$D$11&amp;" ","")&amp;IF(AND($M$12=4,$N$12=3),$D$12&amp;" ","")&amp;IF(AND($M$13=4,$N$13=3),$D$13&amp;" ","")&amp;IF(AND($M$14=4,$N$14=3),$D$14&amp;" ",""))</f>
        <v>P36-C P18-E P05-C</v>
      </c>
      <c r="X31" s="20" t="str">
        <f>TRIM(IF(AND($M$5=5,$N$5=3),$D$5&amp;" ","")&amp;IF(AND($M$6=5,$N$6=3),$D$6&amp;" ","")&amp;IF(AND($M$7=5,$N$7=3),$D$7&amp;" ","")&amp;IF(AND($M$8=5,$N$8=3),$D$8&amp;" ","")&amp;IF(AND($M$9=5,$N$9=3),$D$9&amp;" ","")&amp;IF(AND($M$10=5,$N$10=3),$D$10&amp;" ","")&amp;IF(AND($M$11=5,$N$11=3),$D$11&amp;" ","")&amp;IF(AND($M$12=5,$N$12=3),$D$12&amp;" ","")&amp;IF(AND($M$13=5,$N$13=3),$D$13&amp;" ","")&amp;IF(AND($M$14=5,$N$14=3),$D$14&amp;" ",""))</f>
        <v/>
      </c>
    </row>
    <row r="32" spans="1:31" ht="37.5" customHeight="1" x14ac:dyDescent="0.25">
      <c r="S32" s="19" t="str">
        <f>'Scales &amp; Matrix'!E6&amp;" ("&amp;2&amp;")"</f>
        <v>Unlikely (2)</v>
      </c>
      <c r="T32" s="20" t="str">
        <f>TRIM(IF(AND($M$5=1,$N$5=2),$D$5&amp;" ","")&amp;IF(AND($M$6=1,$N$6=2),$D$6&amp;" ","")&amp;IF(AND($M$7=1,$N$7=2),$D$7&amp;" ","")&amp;IF(AND($M$8=1,$N$8=2),$D$8&amp;" ","")&amp;IF(AND($M$9=1,$N$9=2),$D$9&amp;" ","")&amp;IF(AND($M$10=1,$N$10=2),$D$10&amp;" ","")&amp;IF(AND($M$11=1,$N$11=2),$D$11&amp;" ","")&amp;IF(AND($M$12=1,$N$12=2),$D$12&amp;" ","")&amp;IF(AND($M$13=1,$N$13=2),$D$13&amp;" ","")&amp;IF(AND($M$14=1,$N$14=2),$D$14&amp;" ",""))</f>
        <v/>
      </c>
      <c r="U32" s="20" t="str">
        <f>TRIM(IF(AND($M$5=2,$N$5=2),$D$5&amp;" ","")&amp;IF(AND($M$6=2,$N$6=2),$D$6&amp;" ","")&amp;IF(AND($M$7=2,$N$7=2),$D$7&amp;" ","")&amp;IF(AND($M$8=2,$N$8=2),$D$8&amp;" ","")&amp;IF(AND($M$9=2,$N$9=2),$D$9&amp;" ","")&amp;IF(AND($M$10=2,$N$10=2),$D$10&amp;" ","")&amp;IF(AND($M$11=2,$N$11=2),$D$11&amp;" ","")&amp;IF(AND($M$12=2,$N$12=2),$D$12&amp;" ","")&amp;IF(AND($M$13=2,$N$13=2),$D$13&amp;" ","")&amp;IF(AND($M$14=2,$N$14=2),$D$14&amp;" ",""))</f>
        <v/>
      </c>
      <c r="V32" s="20" t="str">
        <f>TRIM(IF(AND($M$5=3,$N$5=2),$D$5&amp;" ","")&amp;IF(AND($M$6=3,$N$6=2),$D$6&amp;" ","")&amp;IF(AND($M$7=3,$N$7=2),$D$7&amp;" ","")&amp;IF(AND($M$8=3,$N$8=2),$D$8&amp;" ","")&amp;IF(AND($M$9=3,$N$9=2),$D$9&amp;" ","")&amp;IF(AND($M$10=3,$N$10=2),$D$10&amp;" ","")&amp;IF(AND($M$11=3,$N$11=2),$D$11&amp;" ","")&amp;IF(AND($M$12=3,$N$12=2),$D$12&amp;" ","")&amp;IF(AND($M$13=3,$N$13=2),$D$13&amp;" ","")&amp;IF(AND($M$14=3,$N$14=2),$D$14&amp;" ",""))</f>
        <v/>
      </c>
      <c r="W32" s="20" t="str">
        <f>TRIM(IF(AND($M$5=4,$N$5=2),$D$5&amp;" ","")&amp;IF(AND($M$6=4,$N$6=2),$D$6&amp;" ","")&amp;IF(AND($M$7=4,$N$7=2),$D$7&amp;" ","")&amp;IF(AND($M$8=4,$N$8=2),$D$8&amp;" ","")&amp;IF(AND($M$9=4,$N$9=2),$D$9&amp;" ","")&amp;IF(AND($M$10=4,$N$10=2),$D$10&amp;" ","")&amp;IF(AND($M$11=4,$N$11=2),$D$11&amp;" ","")&amp;IF(AND($M$12=4,$N$12=2),$D$12&amp;" ","")&amp;IF(AND($M$13=4,$N$13=2),$D$13&amp;" ","")&amp;IF(AND($M$14=4,$N$14=2),$D$14&amp;" ",""))</f>
        <v/>
      </c>
      <c r="X32" s="20" t="str">
        <f>TRIM(IF(AND($M$5=5,$N$5=2),$D$5&amp;" ","")&amp;IF(AND($M$6=5,$N$6=2),$D$6&amp;" ","")&amp;IF(AND($M$7=5,$N$7=2),$D$7&amp;" ","")&amp;IF(AND($M$8=5,$N$8=2),$D$8&amp;" ","")&amp;IF(AND($M$9=5,$N$9=2),$D$9&amp;" ","")&amp;IF(AND($M$10=5,$N$10=2),$D$10&amp;" ","")&amp;IF(AND($M$11=5,$N$11=2),$D$11&amp;" ","")&amp;IF(AND($M$12=5,$N$12=2),$D$12&amp;" ","")&amp;IF(AND($M$13=5,$N$13=2),$D$13&amp;" ","")&amp;IF(AND($M$14=5,$N$14=2),$D$14&amp;" ",""))</f>
        <v>P15-E P16-A P23-B P29-C P29-E</v>
      </c>
    </row>
    <row r="33" spans="19:24" ht="37.5" customHeight="1" x14ac:dyDescent="0.25">
      <c r="S33" s="19" t="str">
        <f>'Scales &amp; Matrix'!E5&amp;" ("&amp;1&amp;")"</f>
        <v>Rare (1)</v>
      </c>
      <c r="T33" s="20" t="str">
        <f>TRIM(IF(AND($M$5=1,$N$5=1),$D$5&amp;" ","")&amp;IF(AND($M$6=1,$N$6=1),$D$6&amp;" ","")&amp;IF(AND($M$7=1,$N$7=1),$D$7&amp;" ","")&amp;IF(AND($M$8=1,$N$8=1),$D$8&amp;" ","")&amp;IF(AND($M$9=1,$N$9=1),$D$9&amp;" ","")&amp;IF(AND($M$10=1,$N$10=1),$D$10&amp;" ","")&amp;IF(AND($M$11=1,$N$11=1),$D$11&amp;" ","")&amp;IF(AND($M$12=1,$N$12=1),$D$12&amp;" ","")&amp;IF(AND($M$13=1,$N$13=1),$D$13&amp;" ","")&amp;IF(AND($M$14=1,$N$14=1),$D$14&amp;" ",""))</f>
        <v/>
      </c>
      <c r="U33" s="20" t="str">
        <f>TRIM(IF(AND($M$5=2,$N$5=1),$D$5&amp;" ","")&amp;IF(AND($M$6=2,$N$6=1),$D$6&amp;" ","")&amp;IF(AND($M$7=2,$N$7=1),$D$7&amp;" ","")&amp;IF(AND($M$8=2,$N$8=1),$D$8&amp;" ","")&amp;IF(AND($M$9=2,$N$9=1),$D$9&amp;" ","")&amp;IF(AND($M$10=2,$N$10=1),$D$10&amp;" ","")&amp;IF(AND($M$11=2,$N$11=1),$D$11&amp;" ","")&amp;IF(AND($M$12=2,$N$12=1),$D$12&amp;" ","")&amp;IF(AND($M$13=2,$N$13=1),$D$13&amp;" ","")&amp;IF(AND($M$14=2,$N$14=1),$D$14&amp;" ",""))</f>
        <v/>
      </c>
      <c r="V33" s="20" t="str">
        <f>TRIM(IF(AND($M$5=3,$N$5=1),$D$5&amp;" ","")&amp;IF(AND($M$6=3,$N$6=1),$D$6&amp;" ","")&amp;IF(AND($M$7=3,$N$7=1),$D$7&amp;" ","")&amp;IF(AND($M$8=3,$N$8=1),$D$8&amp;" ","")&amp;IF(AND($M$9=3,$N$9=1),$D$9&amp;" ","")&amp;IF(AND($M$10=3,$N$10=1),$D$10&amp;" ","")&amp;IF(AND($M$11=3,$N$11=1),$D$11&amp;" ","")&amp;IF(AND($M$12=3,$N$12=1),$D$12&amp;" ","")&amp;IF(AND($M$13=3,$N$13=1),$D$13&amp;" ","")&amp;IF(AND($M$14=3,$N$14=1),$D$14&amp;" ",""))</f>
        <v/>
      </c>
      <c r="W33" s="20" t="str">
        <f>TRIM(IF(AND($M$5=4,$N$5=1),$D$5&amp;" ","")&amp;IF(AND($M$6=4,$N$6=1),$D$6&amp;" ","")&amp;IF(AND($M$7=4,$N$7=1),$D$7&amp;" ","")&amp;IF(AND($M$8=4,$N$8=1),$D$8&amp;" ","")&amp;IF(AND($M$9=4,$N$9=1),$D$9&amp;" ","")&amp;IF(AND($M$10=4,$N$10=1),$D$10&amp;" ","")&amp;IF(AND($M$11=4,$N$11=1),$D$11&amp;" ","")&amp;IF(AND($M$12=4,$N$12=1),$D$12&amp;" ","")&amp;IF(AND($M$13=4,$N$13=1),$D$13&amp;" ","")&amp;IF(AND($M$14=4,$N$14=1),$D$14&amp;" ",""))</f>
        <v/>
      </c>
      <c r="X33" s="20" t="str">
        <f>TRIM(IF(AND($M$5=5,$N$5=1),$D$5&amp;" ","")&amp;IF(AND($M$6=5,$N$6=1),$D$6&amp;" ","")&amp;IF(AND($M$7=5,$N$7=1),$D$7&amp;" ","")&amp;IF(AND($M$8=5,$N$8=1),$D$8&amp;" ","")&amp;IF(AND($M$9=5,$N$9=1),$D$9&amp;" ","")&amp;IF(AND($M$10=5,$N$10=1),$D$10&amp;" ","")&amp;IF(AND($M$11=5,$N$11=1),$D$11&amp;" ","")&amp;IF(AND($M$12=5,$N$12=1),$D$12&amp;" ","")&amp;IF(AND($M$13=5,$N$13=1),$D$13&amp;" ","")&amp;IF(AND($M$14=5,$N$14=1),$D$14&amp;" ",""))</f>
        <v/>
      </c>
    </row>
    <row r="35" spans="19:24" x14ac:dyDescent="0.25">
      <c r="S35" s="3" t="s">
        <v>1318</v>
      </c>
    </row>
  </sheetData>
  <conditionalFormatting sqref="J5:K14">
    <cfRule type="expression" dxfId="801" priority="2">
      <formula>$K5="Critical"</formula>
    </cfRule>
    <cfRule type="expression" dxfId="800" priority="3">
      <formula>$K5="High"</formula>
    </cfRule>
    <cfRule type="expression" dxfId="799" priority="4">
      <formula>$K5="Moderate"</formula>
    </cfRule>
    <cfRule type="expression" dxfId="798" priority="5">
      <formula>$K5="Low"</formula>
    </cfRule>
    <cfRule type="expression" dxfId="797" priority="6">
      <formula>$K5="Very Low"</formula>
    </cfRule>
  </conditionalFormatting>
  <conditionalFormatting sqref="O5:P14">
    <cfRule type="expression" dxfId="796" priority="7">
      <formula>$P5="Critical"</formula>
    </cfRule>
    <cfRule type="expression" dxfId="795" priority="8">
      <formula>$P5="High"</formula>
    </cfRule>
    <cfRule type="expression" dxfId="794" priority="9">
      <formula>$P5="Moderate"</formula>
    </cfRule>
    <cfRule type="expression" dxfId="793" priority="10">
      <formula>$P5="Low"</formula>
    </cfRule>
    <cfRule type="expression" dxfId="792" priority="11">
      <formula>$P5="Very Low"</formula>
    </cfRule>
  </conditionalFormatting>
  <conditionalFormatting sqref="T21">
    <cfRule type="expression" dxfId="791" priority="12">
      <formula>$AA$20="Critical"</formula>
    </cfRule>
    <cfRule type="expression" dxfId="790" priority="13">
      <formula>$AA$20="High"</formula>
    </cfRule>
    <cfRule type="expression" dxfId="789" priority="14">
      <formula>$AA$20="Moderate"</formula>
    </cfRule>
    <cfRule type="expression" dxfId="788" priority="15">
      <formula>$AA$20="Low"</formula>
    </cfRule>
    <cfRule type="expression" dxfId="787" priority="16">
      <formula>$AA$20="Very Low"</formula>
    </cfRule>
  </conditionalFormatting>
  <conditionalFormatting sqref="T22">
    <cfRule type="expression" dxfId="786" priority="41">
      <formula>$AA$21="Very Low"</formula>
    </cfRule>
    <cfRule type="expression" dxfId="785" priority="40">
      <formula>$AA$21="Low"</formula>
    </cfRule>
    <cfRule type="expression" dxfId="784" priority="37">
      <formula>$AA$21="Critical"</formula>
    </cfRule>
    <cfRule type="expression" dxfId="783" priority="38">
      <formula>$AA$21="High"</formula>
    </cfRule>
    <cfRule type="expression" dxfId="782" priority="39">
      <formula>$AA$21="Moderate"</formula>
    </cfRule>
  </conditionalFormatting>
  <conditionalFormatting sqref="T23">
    <cfRule type="expression" dxfId="781" priority="65">
      <formula>$AA$22="Low"</formula>
    </cfRule>
    <cfRule type="expression" dxfId="780" priority="64">
      <formula>$AA$22="Moderate"</formula>
    </cfRule>
    <cfRule type="expression" dxfId="779" priority="66">
      <formula>$AA$22="Very Low"</formula>
    </cfRule>
    <cfRule type="expression" dxfId="778" priority="63">
      <formula>$AA$22="High"</formula>
    </cfRule>
    <cfRule type="expression" dxfId="777" priority="62">
      <formula>$AA$22="Critical"</formula>
    </cfRule>
  </conditionalFormatting>
  <conditionalFormatting sqref="T24">
    <cfRule type="expression" dxfId="776" priority="91">
      <formula>$AA$23="Very Low"</formula>
    </cfRule>
    <cfRule type="expression" dxfId="775" priority="90">
      <formula>$AA$23="Low"</formula>
    </cfRule>
    <cfRule type="expression" dxfId="774" priority="89">
      <formula>$AA$23="Moderate"</formula>
    </cfRule>
    <cfRule type="expression" dxfId="773" priority="88">
      <formula>$AA$23="High"</formula>
    </cfRule>
    <cfRule type="expression" dxfId="772" priority="87">
      <formula>$AA$23="Critical"</formula>
    </cfRule>
  </conditionalFormatting>
  <conditionalFormatting sqref="T25">
    <cfRule type="expression" dxfId="771" priority="114">
      <formula>$AA$24="Moderate"</formula>
    </cfRule>
    <cfRule type="expression" dxfId="770" priority="115">
      <formula>$AA$24="Low"</formula>
    </cfRule>
    <cfRule type="expression" dxfId="769" priority="116">
      <formula>$AA$24="Very Low"</formula>
    </cfRule>
    <cfRule type="expression" dxfId="768" priority="112">
      <formula>$AA$24="Critical"</formula>
    </cfRule>
    <cfRule type="expression" dxfId="767" priority="113">
      <formula>$AA$24="High"</formula>
    </cfRule>
  </conditionalFormatting>
  <conditionalFormatting sqref="T29">
    <cfRule type="expression" dxfId="766" priority="137">
      <formula>$AA$20="Critical"</formula>
    </cfRule>
    <cfRule type="expression" dxfId="765" priority="138">
      <formula>$AA$20="High"</formula>
    </cfRule>
    <cfRule type="expression" dxfId="764" priority="139">
      <formula>$AA$20="Moderate"</formula>
    </cfRule>
    <cfRule type="expression" dxfId="763" priority="141">
      <formula>$AA$20="Very Low"</formula>
    </cfRule>
    <cfRule type="expression" dxfId="762" priority="140">
      <formula>$AA$20="Low"</formula>
    </cfRule>
  </conditionalFormatting>
  <conditionalFormatting sqref="T30">
    <cfRule type="expression" dxfId="761" priority="162">
      <formula>$AA$21="Critical"</formula>
    </cfRule>
    <cfRule type="expression" dxfId="760" priority="163">
      <formula>$AA$21="High"</formula>
    </cfRule>
    <cfRule type="expression" dxfId="759" priority="165">
      <formula>$AA$21="Low"</formula>
    </cfRule>
    <cfRule type="expression" dxfId="758" priority="166">
      <formula>$AA$21="Very Low"</formula>
    </cfRule>
    <cfRule type="expression" dxfId="757" priority="164">
      <formula>$AA$21="Moderate"</formula>
    </cfRule>
  </conditionalFormatting>
  <conditionalFormatting sqref="T31">
    <cfRule type="expression" dxfId="756" priority="189">
      <formula>$AA$22="Moderate"</formula>
    </cfRule>
    <cfRule type="expression" dxfId="755" priority="191">
      <formula>$AA$22="Very Low"</formula>
    </cfRule>
    <cfRule type="expression" dxfId="754" priority="190">
      <formula>$AA$22="Low"</formula>
    </cfRule>
    <cfRule type="expression" dxfId="753" priority="187">
      <formula>$AA$22="Critical"</formula>
    </cfRule>
    <cfRule type="expression" dxfId="752" priority="188">
      <formula>$AA$22="High"</formula>
    </cfRule>
  </conditionalFormatting>
  <conditionalFormatting sqref="T32">
    <cfRule type="expression" dxfId="751" priority="213">
      <formula>$AA$23="High"</formula>
    </cfRule>
    <cfRule type="expression" dxfId="750" priority="216">
      <formula>$AA$23="Very Low"</formula>
    </cfRule>
    <cfRule type="expression" dxfId="749" priority="215">
      <formula>$AA$23="Low"</formula>
    </cfRule>
    <cfRule type="expression" dxfId="748" priority="214">
      <formula>$AA$23="Moderate"</formula>
    </cfRule>
    <cfRule type="expression" dxfId="747" priority="212">
      <formula>$AA$23="Critical"</formula>
    </cfRule>
  </conditionalFormatting>
  <conditionalFormatting sqref="T33">
    <cfRule type="expression" dxfId="746" priority="237">
      <formula>$AA$24="Critical"</formula>
    </cfRule>
    <cfRule type="expression" dxfId="745" priority="238">
      <formula>$AA$24="High"</formula>
    </cfRule>
    <cfRule type="expression" dxfId="744" priority="241">
      <formula>$AA$24="Very Low"</formula>
    </cfRule>
    <cfRule type="expression" dxfId="743" priority="239">
      <formula>$AA$24="Moderate"</formula>
    </cfRule>
    <cfRule type="expression" dxfId="742" priority="240">
      <formula>$AA$24="Low"</formula>
    </cfRule>
  </conditionalFormatting>
  <conditionalFormatting sqref="U21">
    <cfRule type="expression" dxfId="741" priority="18">
      <formula>$AB$20="High"</formula>
    </cfRule>
    <cfRule type="expression" dxfId="740" priority="19">
      <formula>$AB$20="Moderate"</formula>
    </cfRule>
    <cfRule type="expression" dxfId="739" priority="20">
      <formula>$AB$20="Low"</formula>
    </cfRule>
    <cfRule type="expression" dxfId="738" priority="21">
      <formula>$AB$20="Very Low"</formula>
    </cfRule>
    <cfRule type="expression" dxfId="737" priority="17">
      <formula>$AB$20="Critical"</formula>
    </cfRule>
  </conditionalFormatting>
  <conditionalFormatting sqref="U22">
    <cfRule type="expression" dxfId="736" priority="46">
      <formula>$AB$21="Very Low"</formula>
    </cfRule>
    <cfRule type="expression" dxfId="735" priority="45">
      <formula>$AB$21="Low"</formula>
    </cfRule>
    <cfRule type="expression" dxfId="734" priority="44">
      <formula>$AB$21="Moderate"</formula>
    </cfRule>
    <cfRule type="expression" dxfId="733" priority="42">
      <formula>$AB$21="Critical"</formula>
    </cfRule>
    <cfRule type="expression" dxfId="732" priority="43">
      <formula>$AB$21="High"</formula>
    </cfRule>
  </conditionalFormatting>
  <conditionalFormatting sqref="U23">
    <cfRule type="expression" dxfId="731" priority="67">
      <formula>$AB$22="Critical"</formula>
    </cfRule>
    <cfRule type="expression" dxfId="730" priority="68">
      <formula>$AB$22="High"</formula>
    </cfRule>
    <cfRule type="expression" dxfId="729" priority="69">
      <formula>$AB$22="Moderate"</formula>
    </cfRule>
    <cfRule type="expression" dxfId="728" priority="70">
      <formula>$AB$22="Low"</formula>
    </cfRule>
    <cfRule type="expression" dxfId="727" priority="71">
      <formula>$AB$22="Very Low"</formula>
    </cfRule>
  </conditionalFormatting>
  <conditionalFormatting sqref="U24">
    <cfRule type="expression" dxfId="726" priority="94">
      <formula>$AB$23="Moderate"</formula>
    </cfRule>
    <cfRule type="expression" dxfId="725" priority="95">
      <formula>$AB$23="Low"</formula>
    </cfRule>
    <cfRule type="expression" dxfId="724" priority="96">
      <formula>$AB$23="Very Low"</formula>
    </cfRule>
    <cfRule type="expression" dxfId="723" priority="92">
      <formula>$AB$23="Critical"</formula>
    </cfRule>
    <cfRule type="expression" dxfId="722" priority="93">
      <formula>$AB$23="High"</formula>
    </cfRule>
  </conditionalFormatting>
  <conditionalFormatting sqref="U25">
    <cfRule type="expression" dxfId="721" priority="120">
      <formula>$AB$24="Low"</formula>
    </cfRule>
    <cfRule type="expression" dxfId="720" priority="119">
      <formula>$AB$24="Moderate"</formula>
    </cfRule>
    <cfRule type="expression" dxfId="719" priority="118">
      <formula>$AB$24="High"</formula>
    </cfRule>
    <cfRule type="expression" dxfId="718" priority="117">
      <formula>$AB$24="Critical"</formula>
    </cfRule>
    <cfRule type="expression" dxfId="717" priority="121">
      <formula>$AB$24="Very Low"</formula>
    </cfRule>
  </conditionalFormatting>
  <conditionalFormatting sqref="U29">
    <cfRule type="expression" dxfId="716" priority="144">
      <formula>$AB$20="Moderate"</formula>
    </cfRule>
    <cfRule type="expression" dxfId="715" priority="145">
      <formula>$AB$20="Low"</formula>
    </cfRule>
    <cfRule type="expression" dxfId="714" priority="146">
      <formula>$AB$20="Very Low"</formula>
    </cfRule>
    <cfRule type="expression" dxfId="713" priority="142">
      <formula>$AB$20="Critical"</formula>
    </cfRule>
    <cfRule type="expression" dxfId="712" priority="143">
      <formula>$AB$20="High"</formula>
    </cfRule>
  </conditionalFormatting>
  <conditionalFormatting sqref="U30">
    <cfRule type="expression" dxfId="711" priority="167">
      <formula>$AB$21="Critical"</formula>
    </cfRule>
    <cfRule type="expression" dxfId="710" priority="168">
      <formula>$AB$21="High"</formula>
    </cfRule>
    <cfRule type="expression" dxfId="709" priority="169">
      <formula>$AB$21="Moderate"</formula>
    </cfRule>
    <cfRule type="expression" dxfId="708" priority="171">
      <formula>$AB$21="Very Low"</formula>
    </cfRule>
    <cfRule type="expression" dxfId="707" priority="170">
      <formula>$AB$21="Low"</formula>
    </cfRule>
  </conditionalFormatting>
  <conditionalFormatting sqref="U31">
    <cfRule type="expression" dxfId="706" priority="192">
      <formula>$AB$22="Critical"</formula>
    </cfRule>
    <cfRule type="expression" dxfId="705" priority="194">
      <formula>$AB$22="Moderate"</formula>
    </cfRule>
    <cfRule type="expression" dxfId="704" priority="196">
      <formula>$AB$22="Very Low"</formula>
    </cfRule>
    <cfRule type="expression" dxfId="703" priority="195">
      <formula>$AB$22="Low"</formula>
    </cfRule>
    <cfRule type="expression" dxfId="702" priority="193">
      <formula>$AB$22="High"</formula>
    </cfRule>
  </conditionalFormatting>
  <conditionalFormatting sqref="U32">
    <cfRule type="expression" dxfId="701" priority="220">
      <formula>$AB$23="Low"</formula>
    </cfRule>
    <cfRule type="expression" dxfId="700" priority="221">
      <formula>$AB$23="Very Low"</formula>
    </cfRule>
    <cfRule type="expression" dxfId="699" priority="217">
      <formula>$AB$23="Critical"</formula>
    </cfRule>
    <cfRule type="expression" dxfId="698" priority="218">
      <formula>$AB$23="High"</formula>
    </cfRule>
    <cfRule type="expression" dxfId="697" priority="219">
      <formula>$AB$23="Moderate"</formula>
    </cfRule>
  </conditionalFormatting>
  <conditionalFormatting sqref="U33">
    <cfRule type="expression" dxfId="696" priority="245">
      <formula>$AB$24="Low"</formula>
    </cfRule>
    <cfRule type="expression" dxfId="695" priority="246">
      <formula>$AB$24="Very Low"</formula>
    </cfRule>
    <cfRule type="expression" dxfId="694" priority="244">
      <formula>$AB$24="Moderate"</formula>
    </cfRule>
    <cfRule type="expression" dxfId="693" priority="243">
      <formula>$AB$24="High"</formula>
    </cfRule>
    <cfRule type="expression" dxfId="692" priority="242">
      <formula>$AB$24="Critical"</formula>
    </cfRule>
  </conditionalFormatting>
  <conditionalFormatting sqref="V21">
    <cfRule type="expression" dxfId="691" priority="22">
      <formula>$AC$20="Critical"</formula>
    </cfRule>
    <cfRule type="expression" dxfId="690" priority="23">
      <formula>$AC$20="High"</formula>
    </cfRule>
    <cfRule type="expression" dxfId="689" priority="24">
      <formula>$AC$20="Moderate"</formula>
    </cfRule>
    <cfRule type="expression" dxfId="688" priority="25">
      <formula>$AC$20="Low"</formula>
    </cfRule>
    <cfRule type="expression" dxfId="687" priority="26">
      <formula>$AC$20="Very Low"</formula>
    </cfRule>
  </conditionalFormatting>
  <conditionalFormatting sqref="V22">
    <cfRule type="expression" dxfId="686" priority="50">
      <formula>$AC$21="Low"</formula>
    </cfRule>
    <cfRule type="expression" dxfId="685" priority="48">
      <formula>$AC$21="High"</formula>
    </cfRule>
    <cfRule type="expression" dxfId="684" priority="49">
      <formula>$AC$21="Moderate"</formula>
    </cfRule>
    <cfRule type="expression" dxfId="683" priority="51">
      <formula>$AC$21="Very Low"</formula>
    </cfRule>
    <cfRule type="expression" dxfId="682" priority="47">
      <formula>$AC$21="Critical"</formula>
    </cfRule>
  </conditionalFormatting>
  <conditionalFormatting sqref="V23">
    <cfRule type="expression" dxfId="681" priority="74">
      <formula>$AC$22="Moderate"</formula>
    </cfRule>
    <cfRule type="expression" dxfId="680" priority="75">
      <formula>$AC$22="Low"</formula>
    </cfRule>
    <cfRule type="expression" dxfId="679" priority="76">
      <formula>$AC$22="Very Low"</formula>
    </cfRule>
    <cfRule type="expression" dxfId="678" priority="73">
      <formula>$AC$22="High"</formula>
    </cfRule>
    <cfRule type="expression" dxfId="677" priority="72">
      <formula>$AC$22="Critical"</formula>
    </cfRule>
  </conditionalFormatting>
  <conditionalFormatting sqref="V24">
    <cfRule type="expression" dxfId="676" priority="100">
      <formula>$AC$23="Low"</formula>
    </cfRule>
    <cfRule type="expression" dxfId="675" priority="97">
      <formula>$AC$23="Critical"</formula>
    </cfRule>
    <cfRule type="expression" dxfId="674" priority="98">
      <formula>$AC$23="High"</formula>
    </cfRule>
    <cfRule type="expression" dxfId="673" priority="99">
      <formula>$AC$23="Moderate"</formula>
    </cfRule>
    <cfRule type="expression" dxfId="672" priority="101">
      <formula>$AC$23="Very Low"</formula>
    </cfRule>
  </conditionalFormatting>
  <conditionalFormatting sqref="V25">
    <cfRule type="expression" dxfId="671" priority="122">
      <formula>$AC$24="Critical"</formula>
    </cfRule>
    <cfRule type="expression" dxfId="670" priority="123">
      <formula>$AC$24="High"</formula>
    </cfRule>
    <cfRule type="expression" dxfId="669" priority="126">
      <formula>$AC$24="Very Low"</formula>
    </cfRule>
    <cfRule type="expression" dxfId="668" priority="125">
      <formula>$AC$24="Low"</formula>
    </cfRule>
    <cfRule type="expression" dxfId="667" priority="124">
      <formula>$AC$24="Moderate"</formula>
    </cfRule>
  </conditionalFormatting>
  <conditionalFormatting sqref="V29">
    <cfRule type="expression" dxfId="666" priority="147">
      <formula>$AC$20="Critical"</formula>
    </cfRule>
    <cfRule type="expression" dxfId="665" priority="148">
      <formula>$AC$20="High"</formula>
    </cfRule>
    <cfRule type="expression" dxfId="664" priority="151">
      <formula>$AC$20="Very Low"</formula>
    </cfRule>
    <cfRule type="expression" dxfId="663" priority="149">
      <formula>$AC$20="Moderate"</formula>
    </cfRule>
    <cfRule type="expression" dxfId="662" priority="150">
      <formula>$AC$20="Low"</formula>
    </cfRule>
  </conditionalFormatting>
  <conditionalFormatting sqref="V30">
    <cfRule type="expression" dxfId="661" priority="176">
      <formula>$AC$21="Very Low"</formula>
    </cfRule>
    <cfRule type="expression" dxfId="660" priority="175">
      <formula>$AC$21="Low"</formula>
    </cfRule>
    <cfRule type="expression" dxfId="659" priority="174">
      <formula>$AC$21="Moderate"</formula>
    </cfRule>
    <cfRule type="expression" dxfId="658" priority="173">
      <formula>$AC$21="High"</formula>
    </cfRule>
    <cfRule type="expression" dxfId="657" priority="172">
      <formula>$AC$21="Critical"</formula>
    </cfRule>
  </conditionalFormatting>
  <conditionalFormatting sqref="V31">
    <cfRule type="expression" dxfId="656" priority="198">
      <formula>$AC$22="High"</formula>
    </cfRule>
    <cfRule type="expression" dxfId="655" priority="199">
      <formula>$AC$22="Moderate"</formula>
    </cfRule>
    <cfRule type="expression" dxfId="654" priority="197">
      <formula>$AC$22="Critical"</formula>
    </cfRule>
    <cfRule type="expression" dxfId="653" priority="201">
      <formula>$AC$22="Very Low"</formula>
    </cfRule>
    <cfRule type="expression" dxfId="652" priority="200">
      <formula>$AC$22="Low"</formula>
    </cfRule>
  </conditionalFormatting>
  <conditionalFormatting sqref="V32">
    <cfRule type="expression" dxfId="651" priority="224">
      <formula>$AC$23="Moderate"</formula>
    </cfRule>
    <cfRule type="expression" dxfId="650" priority="225">
      <formula>$AC$23="Low"</formula>
    </cfRule>
    <cfRule type="expression" dxfId="649" priority="226">
      <formula>$AC$23="Very Low"</formula>
    </cfRule>
    <cfRule type="expression" dxfId="648" priority="223">
      <formula>$AC$23="High"</formula>
    </cfRule>
    <cfRule type="expression" dxfId="647" priority="222">
      <formula>$AC$23="Critical"</formula>
    </cfRule>
  </conditionalFormatting>
  <conditionalFormatting sqref="V33">
    <cfRule type="expression" dxfId="646" priority="251">
      <formula>$AC$24="Very Low"</formula>
    </cfRule>
    <cfRule type="expression" dxfId="645" priority="250">
      <formula>$AC$24="Low"</formula>
    </cfRule>
    <cfRule type="expression" dxfId="644" priority="249">
      <formula>$AC$24="Moderate"</formula>
    </cfRule>
    <cfRule type="expression" dxfId="643" priority="248">
      <formula>$AC$24="High"</formula>
    </cfRule>
    <cfRule type="expression" dxfId="642" priority="247">
      <formula>$AC$24="Critical"</formula>
    </cfRule>
  </conditionalFormatting>
  <conditionalFormatting sqref="W21">
    <cfRule type="expression" dxfId="641" priority="27">
      <formula>$AD$20="Critical"</formula>
    </cfRule>
    <cfRule type="expression" dxfId="640" priority="31">
      <formula>$AD$20="Very Low"</formula>
    </cfRule>
    <cfRule type="expression" dxfId="639" priority="29">
      <formula>$AD$20="Moderate"</formula>
    </cfRule>
    <cfRule type="expression" dxfId="638" priority="28">
      <formula>$AD$20="High"</formula>
    </cfRule>
    <cfRule type="expression" dxfId="637" priority="30">
      <formula>$AD$20="Low"</formula>
    </cfRule>
  </conditionalFormatting>
  <conditionalFormatting sqref="W22">
    <cfRule type="expression" dxfId="636" priority="52">
      <formula>$AD$21="Critical"</formula>
    </cfRule>
    <cfRule type="expression" dxfId="635" priority="55">
      <formula>$AD$21="Low"</formula>
    </cfRule>
    <cfRule type="expression" dxfId="634" priority="56">
      <formula>$AD$21="Very Low"</formula>
    </cfRule>
    <cfRule type="expression" dxfId="633" priority="54">
      <formula>$AD$21="Moderate"</formula>
    </cfRule>
    <cfRule type="expression" dxfId="632" priority="53">
      <formula>$AD$21="High"</formula>
    </cfRule>
  </conditionalFormatting>
  <conditionalFormatting sqref="W23">
    <cfRule type="expression" dxfId="631" priority="80">
      <formula>$AD$22="Low"</formula>
    </cfRule>
    <cfRule type="expression" dxfId="630" priority="79">
      <formula>$AD$22="Moderate"</formula>
    </cfRule>
    <cfRule type="expression" dxfId="629" priority="78">
      <formula>$AD$22="High"</formula>
    </cfRule>
    <cfRule type="expression" dxfId="628" priority="77">
      <formula>$AD$22="Critical"</formula>
    </cfRule>
    <cfRule type="expression" dxfId="627" priority="81">
      <formula>$AD$22="Very Low"</formula>
    </cfRule>
  </conditionalFormatting>
  <conditionalFormatting sqref="W24">
    <cfRule type="expression" dxfId="626" priority="105">
      <formula>$AD$23="Low"</formula>
    </cfRule>
    <cfRule type="expression" dxfId="625" priority="106">
      <formula>$AD$23="Very Low"</formula>
    </cfRule>
    <cfRule type="expression" dxfId="624" priority="102">
      <formula>$AD$23="Critical"</formula>
    </cfRule>
    <cfRule type="expression" dxfId="623" priority="104">
      <formula>$AD$23="Moderate"</formula>
    </cfRule>
    <cfRule type="expression" dxfId="622" priority="103">
      <formula>$AD$23="High"</formula>
    </cfRule>
  </conditionalFormatting>
  <conditionalFormatting sqref="W25">
    <cfRule type="expression" dxfId="621" priority="129">
      <formula>$AD$24="Moderate"</formula>
    </cfRule>
    <cfRule type="expression" dxfId="620" priority="127">
      <formula>$AD$24="Critical"</formula>
    </cfRule>
    <cfRule type="expression" dxfId="619" priority="128">
      <formula>$AD$24="High"</formula>
    </cfRule>
    <cfRule type="expression" dxfId="618" priority="130">
      <formula>$AD$24="Low"</formula>
    </cfRule>
    <cfRule type="expression" dxfId="617" priority="131">
      <formula>$AD$24="Very Low"</formula>
    </cfRule>
  </conditionalFormatting>
  <conditionalFormatting sqref="W29">
    <cfRule type="expression" dxfId="616" priority="156">
      <formula>$AD$20="Very Low"</formula>
    </cfRule>
    <cfRule type="expression" dxfId="615" priority="154">
      <formula>$AD$20="Moderate"</formula>
    </cfRule>
    <cfRule type="expression" dxfId="614" priority="153">
      <formula>$AD$20="High"</formula>
    </cfRule>
    <cfRule type="expression" dxfId="613" priority="152">
      <formula>$AD$20="Critical"</formula>
    </cfRule>
    <cfRule type="expression" dxfId="612" priority="155">
      <formula>$AD$20="Low"</formula>
    </cfRule>
  </conditionalFormatting>
  <conditionalFormatting sqref="W30">
    <cfRule type="expression" dxfId="611" priority="181">
      <formula>$AD$21="Very Low"</formula>
    </cfRule>
    <cfRule type="expression" dxfId="610" priority="177">
      <formula>$AD$21="Critical"</formula>
    </cfRule>
    <cfRule type="expression" dxfId="609" priority="178">
      <formula>$AD$21="High"</formula>
    </cfRule>
    <cfRule type="expression" dxfId="608" priority="179">
      <formula>$AD$21="Moderate"</formula>
    </cfRule>
    <cfRule type="expression" dxfId="607" priority="180">
      <formula>$AD$21="Low"</formula>
    </cfRule>
  </conditionalFormatting>
  <conditionalFormatting sqref="W31">
    <cfRule type="expression" dxfId="606" priority="205">
      <formula>$AD$22="Low"</formula>
    </cfRule>
    <cfRule type="expression" dxfId="605" priority="202">
      <formula>$AD$22="Critical"</formula>
    </cfRule>
    <cfRule type="expression" dxfId="604" priority="203">
      <formula>$AD$22="High"</formula>
    </cfRule>
    <cfRule type="expression" dxfId="603" priority="204">
      <formula>$AD$22="Moderate"</formula>
    </cfRule>
    <cfRule type="expression" dxfId="602" priority="206">
      <formula>$AD$22="Very Low"</formula>
    </cfRule>
  </conditionalFormatting>
  <conditionalFormatting sqref="W32">
    <cfRule type="expression" dxfId="601" priority="229">
      <formula>$AD$23="Moderate"</formula>
    </cfRule>
    <cfRule type="expression" dxfId="600" priority="231">
      <formula>$AD$23="Very Low"</formula>
    </cfRule>
    <cfRule type="expression" dxfId="599" priority="230">
      <formula>$AD$23="Low"</formula>
    </cfRule>
    <cfRule type="expression" dxfId="598" priority="227">
      <formula>$AD$23="Critical"</formula>
    </cfRule>
    <cfRule type="expression" dxfId="597" priority="228">
      <formula>$AD$23="High"</formula>
    </cfRule>
  </conditionalFormatting>
  <conditionalFormatting sqref="W33">
    <cfRule type="expression" dxfId="596" priority="255">
      <formula>$AD$24="Low"</formula>
    </cfRule>
    <cfRule type="expression" dxfId="595" priority="254">
      <formula>$AD$24="Moderate"</formula>
    </cfRule>
    <cfRule type="expression" dxfId="594" priority="252">
      <formula>$AD$24="Critical"</formula>
    </cfRule>
    <cfRule type="expression" dxfId="593" priority="253">
      <formula>$AD$24="High"</formula>
    </cfRule>
    <cfRule type="expression" dxfId="592" priority="256">
      <formula>$AD$24="Very Low"</formula>
    </cfRule>
  </conditionalFormatting>
  <conditionalFormatting sqref="X21">
    <cfRule type="expression" dxfId="591" priority="33">
      <formula>$AE$20="High"</formula>
    </cfRule>
    <cfRule type="expression" dxfId="590" priority="32">
      <formula>$AE$20="Critical"</formula>
    </cfRule>
    <cfRule type="expression" dxfId="589" priority="34">
      <formula>$AE$20="Moderate"</formula>
    </cfRule>
    <cfRule type="expression" dxfId="588" priority="36">
      <formula>$AE$20="Very Low"</formula>
    </cfRule>
    <cfRule type="expression" dxfId="587" priority="35">
      <formula>$AE$20="Low"</formula>
    </cfRule>
  </conditionalFormatting>
  <conditionalFormatting sqref="X22">
    <cfRule type="expression" dxfId="586" priority="61">
      <formula>$AE$21="Very Low"</formula>
    </cfRule>
    <cfRule type="expression" dxfId="585" priority="60">
      <formula>$AE$21="Low"</formula>
    </cfRule>
    <cfRule type="expression" dxfId="584" priority="59">
      <formula>$AE$21="Moderate"</formula>
    </cfRule>
    <cfRule type="expression" dxfId="583" priority="58">
      <formula>$AE$21="High"</formula>
    </cfRule>
    <cfRule type="expression" dxfId="582" priority="57">
      <formula>$AE$21="Critical"</formula>
    </cfRule>
  </conditionalFormatting>
  <conditionalFormatting sqref="X23">
    <cfRule type="expression" dxfId="581" priority="82">
      <formula>$AE$22="Critical"</formula>
    </cfRule>
    <cfRule type="expression" dxfId="580" priority="83">
      <formula>$AE$22="High"</formula>
    </cfRule>
    <cfRule type="expression" dxfId="579" priority="84">
      <formula>$AE$22="Moderate"</formula>
    </cfRule>
    <cfRule type="expression" dxfId="578" priority="85">
      <formula>$AE$22="Low"</formula>
    </cfRule>
    <cfRule type="expression" dxfId="577" priority="86">
      <formula>$AE$22="Very Low"</formula>
    </cfRule>
  </conditionalFormatting>
  <conditionalFormatting sqref="X24">
    <cfRule type="expression" dxfId="576" priority="108">
      <formula>$AE$23="High"</formula>
    </cfRule>
    <cfRule type="expression" dxfId="575" priority="111">
      <formula>$AE$23="Very Low"</formula>
    </cfRule>
    <cfRule type="expression" dxfId="574" priority="110">
      <formula>$AE$23="Low"</formula>
    </cfRule>
    <cfRule type="expression" dxfId="573" priority="109">
      <formula>$AE$23="Moderate"</formula>
    </cfRule>
    <cfRule type="expression" dxfId="572" priority="107">
      <formula>$AE$23="Critical"</formula>
    </cfRule>
  </conditionalFormatting>
  <conditionalFormatting sqref="X25">
    <cfRule type="expression" dxfId="571" priority="133">
      <formula>$AE$24="High"</formula>
    </cfRule>
    <cfRule type="expression" dxfId="570" priority="132">
      <formula>$AE$24="Critical"</formula>
    </cfRule>
    <cfRule type="expression" dxfId="569" priority="134">
      <formula>$AE$24="Moderate"</formula>
    </cfRule>
    <cfRule type="expression" dxfId="568" priority="135">
      <formula>$AE$24="Low"</formula>
    </cfRule>
    <cfRule type="expression" dxfId="567" priority="136">
      <formula>$AE$24="Very Low"</formula>
    </cfRule>
  </conditionalFormatting>
  <conditionalFormatting sqref="X29">
    <cfRule type="expression" dxfId="566" priority="158">
      <formula>$AE$20="High"</formula>
    </cfRule>
    <cfRule type="expression" dxfId="565" priority="157">
      <formula>$AE$20="Critical"</formula>
    </cfRule>
    <cfRule type="expression" dxfId="564" priority="160">
      <formula>$AE$20="Low"</formula>
    </cfRule>
    <cfRule type="expression" dxfId="563" priority="161">
      <formula>$AE$20="Very Low"</formula>
    </cfRule>
    <cfRule type="expression" dxfId="562" priority="159">
      <formula>$AE$20="Moderate"</formula>
    </cfRule>
  </conditionalFormatting>
  <conditionalFormatting sqref="X30">
    <cfRule type="expression" dxfId="561" priority="184">
      <formula>$AE$21="Moderate"</formula>
    </cfRule>
    <cfRule type="expression" dxfId="560" priority="186">
      <formula>$AE$21="Very Low"</formula>
    </cfRule>
    <cfRule type="expression" dxfId="559" priority="182">
      <formula>$AE$21="Critical"</formula>
    </cfRule>
    <cfRule type="expression" dxfId="558" priority="183">
      <formula>$AE$21="High"</formula>
    </cfRule>
    <cfRule type="expression" dxfId="557" priority="185">
      <formula>$AE$21="Low"</formula>
    </cfRule>
  </conditionalFormatting>
  <conditionalFormatting sqref="X31">
    <cfRule type="expression" dxfId="556" priority="207">
      <formula>$AE$22="Critical"</formula>
    </cfRule>
    <cfRule type="expression" dxfId="555" priority="209">
      <formula>$AE$22="Moderate"</formula>
    </cfRule>
    <cfRule type="expression" dxfId="554" priority="208">
      <formula>$AE$22="High"</formula>
    </cfRule>
    <cfRule type="expression" dxfId="553" priority="211">
      <formula>$AE$22="Very Low"</formula>
    </cfRule>
    <cfRule type="expression" dxfId="552" priority="210">
      <formula>$AE$22="Low"</formula>
    </cfRule>
  </conditionalFormatting>
  <conditionalFormatting sqref="X32">
    <cfRule type="expression" dxfId="551" priority="234">
      <formula>$AE$23="Moderate"</formula>
    </cfRule>
    <cfRule type="expression" dxfId="550" priority="236">
      <formula>$AE$23="Very Low"</formula>
    </cfRule>
    <cfRule type="expression" dxfId="549" priority="232">
      <formula>$AE$23="Critical"</formula>
    </cfRule>
    <cfRule type="expression" dxfId="548" priority="233">
      <formula>$AE$23="High"</formula>
    </cfRule>
    <cfRule type="expression" dxfId="547" priority="235">
      <formula>$AE$23="Low"</formula>
    </cfRule>
  </conditionalFormatting>
  <conditionalFormatting sqref="X33">
    <cfRule type="expression" dxfId="546" priority="257">
      <formula>$AE$24="Critical"</formula>
    </cfRule>
    <cfRule type="expression" dxfId="545" priority="258">
      <formula>$AE$24="High"</formula>
    </cfRule>
    <cfRule type="expression" dxfId="544" priority="259">
      <formula>$AE$24="Moderate"</formula>
    </cfRule>
    <cfRule type="expression" dxfId="543" priority="260">
      <formula>$AE$24="Low"</formula>
    </cfRule>
    <cfRule type="expression" dxfId="542" priority="261">
      <formula>$AE$24="Very Low"</formula>
    </cfRule>
  </conditionalFormatting>
  <pageMargins left="0.75" right="0.75" top="1" bottom="1"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35"/>
  <sheetViews>
    <sheetView zoomScale="80" zoomScaleNormal="80" workbookViewId="0">
      <pane ySplit="4" topLeftCell="A5" activePane="bottomLeft" state="frozen"/>
      <selection pane="bottomLeft"/>
    </sheetView>
  </sheetViews>
  <sheetFormatPr defaultColWidth="8.7109375" defaultRowHeight="15" x14ac:dyDescent="0.25"/>
  <cols>
    <col min="1" max="1" width="6" customWidth="1"/>
    <col min="2" max="3" width="13" hidden="1" customWidth="1"/>
    <col min="4" max="4" width="9" customWidth="1"/>
    <col min="5" max="5" width="11" customWidth="1"/>
    <col min="6" max="6" width="30" customWidth="1"/>
    <col min="7" max="7" width="40" customWidth="1"/>
    <col min="8" max="9" width="8" customWidth="1"/>
    <col min="10" max="10" width="9" customWidth="1"/>
    <col min="11" max="11" width="10" customWidth="1"/>
    <col min="12" max="12" width="50" customWidth="1"/>
    <col min="13" max="14" width="8" customWidth="1"/>
    <col min="15" max="15" width="9" customWidth="1"/>
    <col min="16" max="16" width="10" customWidth="1"/>
    <col min="17" max="17" width="9" customWidth="1"/>
    <col min="18" max="18" width="3" customWidth="1"/>
    <col min="19" max="19" width="20" customWidth="1"/>
    <col min="20" max="24" width="14" customWidth="1"/>
    <col min="27" max="31" width="13" hidden="1" customWidth="1"/>
  </cols>
  <sheetData>
    <row r="1" spans="1:17" ht="18" x14ac:dyDescent="0.25">
      <c r="A1" s="2" t="s">
        <v>1320</v>
      </c>
    </row>
    <row r="2" spans="1:17" x14ac:dyDescent="0.25">
      <c r="A2" s="3" t="s">
        <v>1303</v>
      </c>
    </row>
    <row r="4" spans="1:17" ht="36" customHeight="1" x14ac:dyDescent="0.25">
      <c r="A4" s="5" t="s">
        <v>1304</v>
      </c>
      <c r="B4" s="5" t="s">
        <v>1305</v>
      </c>
      <c r="C4" s="5" t="s">
        <v>1306</v>
      </c>
      <c r="D4" s="5" t="s">
        <v>4</v>
      </c>
      <c r="E4" s="5" t="s">
        <v>6</v>
      </c>
      <c r="F4" s="5" t="s">
        <v>1307</v>
      </c>
      <c r="G4" s="5" t="s">
        <v>1308</v>
      </c>
      <c r="H4" s="5" t="s">
        <v>1309</v>
      </c>
      <c r="I4" s="5" t="s">
        <v>1310</v>
      </c>
      <c r="J4" s="5" t="s">
        <v>17</v>
      </c>
      <c r="K4" s="5" t="s">
        <v>18</v>
      </c>
      <c r="L4" s="5" t="s">
        <v>19</v>
      </c>
      <c r="M4" s="5" t="s">
        <v>1311</v>
      </c>
      <c r="N4" s="5" t="s">
        <v>1312</v>
      </c>
      <c r="O4" s="5" t="s">
        <v>22</v>
      </c>
      <c r="P4" s="5" t="s">
        <v>23</v>
      </c>
      <c r="Q4" s="5" t="s">
        <v>24</v>
      </c>
    </row>
    <row r="5" spans="1:17" ht="75" customHeight="1" x14ac:dyDescent="0.25">
      <c r="A5" s="14">
        <v>1</v>
      </c>
      <c r="B5" s="7">
        <f>IFERROR(LARGE('Risk Register'!$AD$5:$AD$297,A5),0)</f>
        <v>12129994</v>
      </c>
      <c r="C5" s="7">
        <f>IF(B5&gt;0,MATCH(B5,'Risk Register'!$AD$5:$AD$297,0),0)</f>
        <v>2</v>
      </c>
      <c r="D5" s="14" t="str">
        <f>IF($C5=0,"",INDEX('Risk Register'!$B$5:$B$297,$C5))</f>
        <v>F01-A</v>
      </c>
      <c r="E5" s="7" t="str">
        <f>IF($C5=0,"",INDEX('Risk Register'!$D$5:$D$297,$C5))</f>
        <v>Fremantle</v>
      </c>
      <c r="F5" s="9" t="str">
        <f>IF($C5=0,"",INDEX('Risk Register'!$E$5:$E$297,$C5))</f>
        <v>Administration of Medication (National Regulation 92 (Medication Record), Reg 93 (Administration), Reg 95 (Procedure), Reg 168(2)(v))</v>
      </c>
      <c r="G5" s="9" t="str">
        <f>IF($C5=0,"",INDEX('Risk Register'!$L$5:$L$297,$C5))</f>
        <v>Overdose, allergic reaction, or failure to treat condition.</v>
      </c>
      <c r="H5" s="7">
        <f>IF($C5=0,"",INDEX('Risk Register'!$M$5:$M$297,$C5))</f>
        <v>4</v>
      </c>
      <c r="I5" s="7">
        <f>IF($C5=0,"",INDEX('Risk Register'!$N$5:$N$297,$C5))</f>
        <v>3</v>
      </c>
      <c r="J5" s="7">
        <f>IF($C5=0,"",INDEX('Risk Register'!$O$5:$O$297,$C5))</f>
        <v>12</v>
      </c>
      <c r="K5" s="7" t="str">
        <f>IF($C5=0,"",INDEX('Risk Register'!$P$5:$P$297,$C5))</f>
        <v>High</v>
      </c>
      <c r="L5" s="9" t="str">
        <f>IF($C5=0,"",INDEX('Risk Register'!$Q$5:$Q$297,$C5))</f>
        <v>• Two-Person Check: Mandatory witness check of dosage, child’s name, medication name, and expiry before administration. • 5 Rights: Check: Right Child, Right Medication, Right Dose, Right Time, Right Route. • Original Container: Medication must be in original packaging with the pharmacy label (child’s name).</v>
      </c>
      <c r="M5" s="7">
        <f>IF($C5=0,"",INDEX('Risk Register'!$R$5:$R$297,$C5))</f>
        <v>4</v>
      </c>
      <c r="N5" s="7">
        <f>IF($C5=0,"",INDEX('Risk Register'!$S$5:$S$297,$C5))</f>
        <v>3</v>
      </c>
      <c r="O5" s="7">
        <f>IF($C5=0,"",INDEX('Risk Register'!$T$5:$T$297,$C5))</f>
        <v>12</v>
      </c>
      <c r="P5" s="7" t="str">
        <f>IF($C5=0,"",INDEX('Risk Register'!$U$5:$U$297,$C5))</f>
        <v>High</v>
      </c>
      <c r="Q5" s="11">
        <f>IF($C5=0,"",INDEX('Risk Register'!$V$5:$V$297,$C5))</f>
        <v>0</v>
      </c>
    </row>
    <row r="6" spans="1:17" ht="75" customHeight="1" x14ac:dyDescent="0.25">
      <c r="A6" s="14">
        <v>2</v>
      </c>
      <c r="B6" s="7">
        <f>IFERROR(LARGE('Risk Register'!$AD$5:$AD$297,A6),0)</f>
        <v>12099992</v>
      </c>
      <c r="C6" s="7">
        <f>IF(B6&gt;0,MATCH(B6,'Risk Register'!$AD$5:$AD$297,0),0)</f>
        <v>4</v>
      </c>
      <c r="D6" s="14" t="str">
        <f>IF($C6=0,"",INDEX('Risk Register'!$B$5:$B$297,$C6))</f>
        <v>F03-C</v>
      </c>
      <c r="E6" s="7" t="str">
        <f>IF($C6=0,"",INDEX('Risk Register'!$D$5:$D$297,$C6))</f>
        <v>Fremantle</v>
      </c>
      <c r="F6" s="9" t="str">
        <f>IF($C6=0,"",INDEX('Risk Register'!$E$5:$E$297,$C6))</f>
        <v>Child Protection &amp; Staff Conduct Risk Assessment Reg 84, 155 &amp; 68(2)(h)</v>
      </c>
      <c r="G6" s="9" t="str">
        <f>IF($C6=0,"",INDEX('Risk Register'!$L$5:$L$297,$C6))</f>
        <v>Emotional trauma, physical injury, breach of rights.</v>
      </c>
      <c r="H6" s="7">
        <f>IF($C6=0,"",INDEX('Risk Register'!$M$5:$M$297,$C6))</f>
        <v>3</v>
      </c>
      <c r="I6" s="7">
        <f>IF($C6=0,"",INDEX('Risk Register'!$N$5:$N$297,$C6))</f>
        <v>3</v>
      </c>
      <c r="J6" s="7">
        <f>IF($C6=0,"",INDEX('Risk Register'!$O$5:$O$297,$C6))</f>
        <v>9</v>
      </c>
      <c r="K6" s="7" t="str">
        <f>IF($C6=0,"",INDEX('Risk Register'!$P$5:$P$297,$C6))</f>
        <v>Moderate</v>
      </c>
      <c r="L6" s="9" t="str">
        <f>IF($C6=0,"",INDEX('Risk Register'!$Q$5:$Q$297,$C6))</f>
        <v>The "Interactions with Children" policy prohibits corporal punishment, isolation, and shaming. Room Leaders monitor the language and tone of educators. Staff must immediately report colleague misconduct to the Approved Provider. A culture of reporting is encouraged; staff are urged to promptly report any misconduct to the Approved Provider.</v>
      </c>
      <c r="M6" s="7">
        <f>IF($C6=0,"",INDEX('Risk Register'!$R$5:$R$297,$C6))</f>
        <v>4</v>
      </c>
      <c r="N6" s="7">
        <f>IF($C6=0,"",INDEX('Risk Register'!$S$5:$S$297,$C6))</f>
        <v>3</v>
      </c>
      <c r="O6" s="7">
        <f>IF($C6=0,"",INDEX('Risk Register'!$T$5:$T$297,$C6))</f>
        <v>12</v>
      </c>
      <c r="P6" s="7" t="str">
        <f>IF($C6=0,"",INDEX('Risk Register'!$U$5:$U$297,$C6))</f>
        <v>High</v>
      </c>
      <c r="Q6" s="11">
        <f>IF($C6=0,"",INDEX('Risk Register'!$V$5:$V$297,$C6))</f>
        <v>-3</v>
      </c>
    </row>
    <row r="7" spans="1:17" ht="75" customHeight="1" x14ac:dyDescent="0.25">
      <c r="A7" s="14">
        <v>3</v>
      </c>
      <c r="B7" s="7">
        <f>IFERROR(LARGE('Risk Register'!$AD$5:$AD$297,A7),0)</f>
        <v>10159990</v>
      </c>
      <c r="C7" s="7">
        <f>IF(B7&gt;0,MATCH(B7,'Risk Register'!$AD$5:$AD$297,0),0)</f>
        <v>6</v>
      </c>
      <c r="D7" s="14" t="str">
        <f>IF($C7=0,"",INDEX('Risk Register'!$B$5:$B$297,$C7))</f>
        <v>F09-A</v>
      </c>
      <c r="E7" s="7" t="str">
        <f>IF($C7=0,"",INDEX('Risk Register'!$D$5:$D$297,$C7))</f>
        <v>Fremantle</v>
      </c>
      <c r="F7" s="9" t="str">
        <f>IF($C7=0,"",INDEX('Risk Register'!$E$5:$E$297,$C7))</f>
        <v>Food Safety, Handling &amp; Nutrition (National Regulation 77 (Health &amp; Hygiene)), 77 and 79)</v>
      </c>
      <c r="G7" s="9" t="str">
        <f>IF($C7=0,"",INDEX('Risk Register'!$L$5:$L$297,$C7))</f>
        <v>Severe allergic reaction or death due to cross-contamination.</v>
      </c>
      <c r="H7" s="7">
        <f>IF($C7=0,"",INDEX('Risk Register'!$M$5:$M$297,$C7))</f>
        <v>5</v>
      </c>
      <c r="I7" s="7">
        <f>IF($C7=0,"",INDEX('Risk Register'!$N$5:$N$297,$C7))</f>
        <v>3</v>
      </c>
      <c r="J7" s="7">
        <f>IF($C7=0,"",INDEX('Risk Register'!$O$5:$O$297,$C7))</f>
        <v>15</v>
      </c>
      <c r="K7" s="7" t="str">
        <f>IF($C7=0,"",INDEX('Risk Register'!$P$5:$P$297,$C7))</f>
        <v>High</v>
      </c>
      <c r="L7" s="9" t="str">
        <f>IF($C7=0,"",INDEX('Risk Register'!$Q$5:$Q$297,$C7))</f>
        <v>• Allergy Lists: Current dietary list displayed in kitchen (out of public view but visible to staff). • Separate Prep: Separate chopping boards/utensils for allergy meals. Allergy meals plated and covered first. • No Nut Policy: Strict prohibition of nuts (monitor lunchboxes if families provide food).</v>
      </c>
      <c r="M7" s="7">
        <f>IF($C7=0,"",INDEX('Risk Register'!$R$5:$R$297,$C7))</f>
        <v>5</v>
      </c>
      <c r="N7" s="7">
        <f>IF($C7=0,"",INDEX('Risk Register'!$S$5:$S$297,$C7))</f>
        <v>2</v>
      </c>
      <c r="O7" s="7">
        <f>IF($C7=0,"",INDEX('Risk Register'!$T$5:$T$297,$C7))</f>
        <v>10</v>
      </c>
      <c r="P7" s="7" t="str">
        <f>IF($C7=0,"",INDEX('Risk Register'!$U$5:$U$297,$C7))</f>
        <v>High</v>
      </c>
      <c r="Q7" s="11">
        <f>IF($C7=0,"",INDEX('Risk Register'!$V$5:$V$297,$C7))</f>
        <v>5</v>
      </c>
    </row>
    <row r="8" spans="1:17" ht="75" customHeight="1" x14ac:dyDescent="0.25">
      <c r="A8" s="14">
        <v>4</v>
      </c>
      <c r="B8" s="7">
        <f>IFERROR(LARGE('Risk Register'!$AD$5:$AD$297,A8),0)</f>
        <v>10159989</v>
      </c>
      <c r="C8" s="7">
        <f>IF(B8&gt;0,MATCH(B8,'Risk Register'!$AD$5:$AD$297,0),0)</f>
        <v>7</v>
      </c>
      <c r="D8" s="14" t="str">
        <f>IF($C8=0,"",INDEX('Risk Register'!$B$5:$B$297,$C8))</f>
        <v>F24-B</v>
      </c>
      <c r="E8" s="7" t="str">
        <f>IF($C8=0,"",INDEX('Risk Register'!$D$5:$D$297,$C8))</f>
        <v>Fremantle</v>
      </c>
      <c r="F8" s="9" t="str">
        <f>IF($C8=0,"",INDEX('Risk Register'!$E$5:$E$297,$C8))</f>
        <v>Risk assessment for Medical Drill/ Actual Incident (National Reg 89, 90, 168)</v>
      </c>
      <c r="G8" s="9" t="str">
        <f>IF($C8=0,"",INDEX('Risk Register'!$L$5:$L$297,$C8))</f>
        <v>Incorrect response; risk of worsening condition</v>
      </c>
      <c r="H8" s="7">
        <f>IF($C8=0,"",INDEX('Risk Register'!$M$5:$M$297,$C8))</f>
        <v>5</v>
      </c>
      <c r="I8" s="7">
        <f>IF($C8=0,"",INDEX('Risk Register'!$N$5:$N$297,$C8))</f>
        <v>3</v>
      </c>
      <c r="J8" s="7">
        <f>IF($C8=0,"",INDEX('Risk Register'!$O$5:$O$297,$C8))</f>
        <v>15</v>
      </c>
      <c r="K8" s="7" t="str">
        <f>IF($C8=0,"",INDEX('Risk Register'!$P$5:$P$297,$C8))</f>
        <v>High</v>
      </c>
      <c r="L8" s="9" t="str">
        <f>IF($C8=0,"",INDEX('Risk Register'!$Q$5:$Q$297,$C8))</f>
        <v>Trained first aiders; CPR/EpiPen training; first aid kits readily available</v>
      </c>
      <c r="M8" s="7">
        <f>IF($C8=0,"",INDEX('Risk Register'!$R$5:$R$297,$C8))</f>
        <v>5</v>
      </c>
      <c r="N8" s="7">
        <f>IF($C8=0,"",INDEX('Risk Register'!$S$5:$S$297,$C8))</f>
        <v>2</v>
      </c>
      <c r="O8" s="7">
        <f>IF($C8=0,"",INDEX('Risk Register'!$T$5:$T$297,$C8))</f>
        <v>10</v>
      </c>
      <c r="P8" s="7" t="str">
        <f>IF($C8=0,"",INDEX('Risk Register'!$U$5:$U$297,$C8))</f>
        <v>High</v>
      </c>
      <c r="Q8" s="11">
        <f>IF($C8=0,"",INDEX('Risk Register'!$V$5:$V$297,$C8))</f>
        <v>5</v>
      </c>
    </row>
    <row r="9" spans="1:17" ht="75" customHeight="1" x14ac:dyDescent="0.25">
      <c r="A9" s="14">
        <v>5</v>
      </c>
      <c r="B9" s="7">
        <f>IFERROR(LARGE('Risk Register'!$AD$5:$AD$297,A9),0)</f>
        <v>10159988</v>
      </c>
      <c r="C9" s="7">
        <f>IF(B9&gt;0,MATCH(B9,'Risk Register'!$AD$5:$AD$297,0),0)</f>
        <v>8</v>
      </c>
      <c r="D9" s="14" t="str">
        <f>IF($C9=0,"",INDEX('Risk Register'!$B$5:$B$297,$C9))</f>
        <v>F28-C</v>
      </c>
      <c r="E9" s="7" t="str">
        <f>IF($C9=0,"",INDEX('Risk Register'!$D$5:$D$297,$C9))</f>
        <v>Fremantle</v>
      </c>
      <c r="F9" s="9" t="str">
        <f>IF($C9=0,"",INDEX('Risk Register'!$E$5:$E$297,$C9))</f>
        <v>Serious Incident, Damage or Reportable Event (National Reg 167 &amp; 174, 175, 176)</v>
      </c>
      <c r="G9" s="9" t="str">
        <f>IF($C9=0,"",INDEX('Risk Register'!$L$5:$L$297,$C9))</f>
        <v>Exposure to threat; children moving unsupervised; risk of injury</v>
      </c>
      <c r="H9" s="7">
        <f>IF($C9=0,"",INDEX('Risk Register'!$M$5:$M$297,$C9))</f>
        <v>5</v>
      </c>
      <c r="I9" s="7">
        <f>IF($C9=0,"",INDEX('Risk Register'!$N$5:$N$297,$C9))</f>
        <v>3</v>
      </c>
      <c r="J9" s="7">
        <f>IF($C9=0,"",INDEX('Risk Register'!$O$5:$O$297,$C9))</f>
        <v>15</v>
      </c>
      <c r="K9" s="7" t="str">
        <f>IF($C9=0,"",INDEX('Risk Register'!$P$5:$P$297,$C9))</f>
        <v>High</v>
      </c>
      <c r="L9" s="9" t="str">
        <f>IF($C9=0,"",INDEX('Risk Register'!$Q$5:$Q$297,$C9))</f>
        <v>Staff guide children to safe areas; minimise movement; clear procedure for gathering in secure rooms</v>
      </c>
      <c r="M9" s="7">
        <f>IF($C9=0,"",INDEX('Risk Register'!$R$5:$R$297,$C9))</f>
        <v>5</v>
      </c>
      <c r="N9" s="7">
        <f>IF($C9=0,"",INDEX('Risk Register'!$S$5:$S$297,$C9))</f>
        <v>2</v>
      </c>
      <c r="O9" s="7">
        <f>IF($C9=0,"",INDEX('Risk Register'!$T$5:$T$297,$C9))</f>
        <v>10</v>
      </c>
      <c r="P9" s="7" t="str">
        <f>IF($C9=0,"",INDEX('Risk Register'!$U$5:$U$297,$C9))</f>
        <v>High</v>
      </c>
      <c r="Q9" s="11">
        <f>IF($C9=0,"",INDEX('Risk Register'!$V$5:$V$297,$C9))</f>
        <v>5</v>
      </c>
    </row>
    <row r="10" spans="1:17" ht="75" customHeight="1" x14ac:dyDescent="0.25">
      <c r="A10" s="14">
        <v>6</v>
      </c>
      <c r="B10" s="7">
        <f>IFERROR(LARGE('Risk Register'!$AD$5:$AD$297,A10),0)</f>
        <v>10159987</v>
      </c>
      <c r="C10" s="7">
        <f>IF(B10&gt;0,MATCH(B10,'Risk Register'!$AD$5:$AD$297,0),0)</f>
        <v>9</v>
      </c>
      <c r="D10" s="14" t="str">
        <f>IF($C10=0,"",INDEX('Risk Register'!$B$5:$B$297,$C10))</f>
        <v>F31-B</v>
      </c>
      <c r="E10" s="7" t="str">
        <f>IF($C10=0,"",INDEX('Risk Register'!$D$5:$D$297,$C10))</f>
        <v>Fremantle</v>
      </c>
      <c r="F10" s="9" t="str">
        <f>IF($C10=0,"",INDEX('Risk Register'!$E$5:$E$297,$C10))</f>
        <v>Someone Getting Hurt (Child or Adult) (NQF National Reg. 167, 168, 175) - Adult WHS (Reg 12)</v>
      </c>
      <c r="G10" s="9" t="str">
        <f>IF($C10=0,"",INDEX('Risk Register'!$L$5:$L$297,$C10))</f>
        <v>Incorrect response; risk of worsening condition</v>
      </c>
      <c r="H10" s="7">
        <f>IF($C10=0,"",INDEX('Risk Register'!$M$5:$M$297,$C10))</f>
        <v>5</v>
      </c>
      <c r="I10" s="7">
        <f>IF($C10=0,"",INDEX('Risk Register'!$N$5:$N$297,$C10))</f>
        <v>3</v>
      </c>
      <c r="J10" s="7">
        <f>IF($C10=0,"",INDEX('Risk Register'!$O$5:$O$297,$C10))</f>
        <v>15</v>
      </c>
      <c r="K10" s="7" t="str">
        <f>IF($C10=0,"",INDEX('Risk Register'!$P$5:$P$297,$C10))</f>
        <v>High</v>
      </c>
      <c r="L10" s="9" t="str">
        <f>IF($C10=0,"",INDEX('Risk Register'!$Q$5:$Q$297,$C10))</f>
        <v>Trained first aiders; CPR/EpiPen training; first aid kits readily available</v>
      </c>
      <c r="M10" s="7">
        <f>IF($C10=0,"",INDEX('Risk Register'!$R$5:$R$297,$C10))</f>
        <v>5</v>
      </c>
      <c r="N10" s="7">
        <f>IF($C10=0,"",INDEX('Risk Register'!$S$5:$S$297,$C10))</f>
        <v>2</v>
      </c>
      <c r="O10" s="7">
        <f>IF($C10=0,"",INDEX('Risk Register'!$T$5:$T$297,$C10))</f>
        <v>10</v>
      </c>
      <c r="P10" s="7" t="str">
        <f>IF($C10=0,"",INDEX('Risk Register'!$U$5:$U$297,$C10))</f>
        <v>High</v>
      </c>
      <c r="Q10" s="11">
        <f>IF($C10=0,"",INDEX('Risk Register'!$V$5:$V$297,$C10))</f>
        <v>5</v>
      </c>
    </row>
    <row r="11" spans="1:17" ht="75" customHeight="1" x14ac:dyDescent="0.25">
      <c r="A11" s="14">
        <v>7</v>
      </c>
      <c r="B11" s="7">
        <f>IFERROR(LARGE('Risk Register'!$AD$5:$AD$297,A11),0)</f>
        <v>10109982</v>
      </c>
      <c r="C11" s="7">
        <f>IF(B11&gt;0,MATCH(B11,'Risk Register'!$AD$5:$AD$297,0),0)</f>
        <v>14</v>
      </c>
      <c r="D11" s="14" t="str">
        <f>IF($C11=0,"",INDEX('Risk Register'!$B$5:$B$297,$C11))</f>
        <v>F28-E</v>
      </c>
      <c r="E11" s="7" t="str">
        <f>IF($C11=0,"",INDEX('Risk Register'!$D$5:$D$297,$C11))</f>
        <v>Fremantle</v>
      </c>
      <c r="F11" s="9" t="str">
        <f>IF($C11=0,"",INDEX('Risk Register'!$E$5:$E$297,$C11))</f>
        <v>Serious Incident, Damage or Reportable Event (National Reg 167 &amp; 174, 175, 176)</v>
      </c>
      <c r="G11" s="9" t="str">
        <f>IF($C11=0,"",INDEX('Risk Register'!$L$5:$L$297,$C11))</f>
        <v>Individuals with mobility, sensory, or medical needs unable to follow lockdown procedure</v>
      </c>
      <c r="H11" s="7">
        <f>IF($C11=0,"",INDEX('Risk Register'!$M$5:$M$297,$C11))</f>
        <v>5</v>
      </c>
      <c r="I11" s="7">
        <f>IF($C11=0,"",INDEX('Risk Register'!$N$5:$N$297,$C11))</f>
        <v>2</v>
      </c>
      <c r="J11" s="7">
        <f>IF($C11=0,"",INDEX('Risk Register'!$O$5:$O$297,$C11))</f>
        <v>10</v>
      </c>
      <c r="K11" s="7" t="str">
        <f>IF($C11=0,"",INDEX('Risk Register'!$P$5:$P$297,$C11))</f>
        <v>High</v>
      </c>
      <c r="L11" s="9" t="str">
        <f>IF($C11=0,"",INDEX('Risk Register'!$Q$5:$Q$297,$C11))</f>
        <v>Individual lockdown plans; assigned helpers; accessible safe spaces; staff training</v>
      </c>
      <c r="M11" s="7">
        <f>IF($C11=0,"",INDEX('Risk Register'!$R$5:$R$297,$C11))</f>
        <v>5</v>
      </c>
      <c r="N11" s="7">
        <f>IF($C11=0,"",INDEX('Risk Register'!$S$5:$S$297,$C11))</f>
        <v>2</v>
      </c>
      <c r="O11" s="7">
        <f>IF($C11=0,"",INDEX('Risk Register'!$T$5:$T$297,$C11))</f>
        <v>10</v>
      </c>
      <c r="P11" s="7" t="str">
        <f>IF($C11=0,"",INDEX('Risk Register'!$U$5:$U$297,$C11))</f>
        <v>High</v>
      </c>
      <c r="Q11" s="11">
        <f>IF($C11=0,"",INDEX('Risk Register'!$V$5:$V$297,$C11))</f>
        <v>0</v>
      </c>
    </row>
    <row r="12" spans="1:17" ht="75" customHeight="1" x14ac:dyDescent="0.25">
      <c r="A12" s="14">
        <v>8</v>
      </c>
      <c r="B12" s="7">
        <f>IFERROR(LARGE('Risk Register'!$AD$5:$AD$297,A12),0)</f>
        <v>9169979</v>
      </c>
      <c r="C12" s="7">
        <f>IF(B12&gt;0,MATCH(B12,'Risk Register'!$AD$5:$AD$297,0),0)</f>
        <v>17</v>
      </c>
      <c r="D12" s="14" t="str">
        <f>IF($C12=0,"",INDEX('Risk Register'!$B$5:$B$297,$C12))</f>
        <v>F02-C</v>
      </c>
      <c r="E12" s="7" t="str">
        <f>IF($C12=0,"",INDEX('Risk Register'!$D$5:$D$297,$C12))</f>
        <v>Fremantle</v>
      </c>
      <c r="F12" s="9" t="str">
        <f>IF($C12=0,"",INDEX('Risk Register'!$E$5:$E$297,$C12))</f>
        <v>Bushfire / Grassfire Evacuation / Fire at Fremantle Port or Railway Station (National Regulation 97)</v>
      </c>
      <c r="G12" s="9" t="str">
        <f>IF($C12=0,"",INDEX('Risk Register'!$L$5:$L$297,$C12))</f>
        <v>Entrapment / Blocked Exits</v>
      </c>
      <c r="H12" s="7">
        <f>IF($C12=0,"",INDEX('Risk Register'!$M$5:$M$297,$C12))</f>
        <v>4</v>
      </c>
      <c r="I12" s="7">
        <f>IF($C12=0,"",INDEX('Risk Register'!$N$5:$N$297,$C12))</f>
        <v>4</v>
      </c>
      <c r="J12" s="7">
        <f>IF($C12=0,"",INDEX('Risk Register'!$O$5:$O$297,$C12))</f>
        <v>16</v>
      </c>
      <c r="K12" s="7" t="str">
        <f>IF($C12=0,"",INDEX('Risk Register'!$P$5:$P$297,$C12))</f>
        <v>High</v>
      </c>
      <c r="L12" s="9" t="str">
        <f>IF($C12=0,"",INDEX('Risk Register'!$Q$5:$Q$297,$C12))</f>
        <v>Use Emergency Lift to Nursery Children in Emergency Cots. If lift is not working use the two alterative emergency stair wells. • Egress Routes: Two distinct assembly points identified (primary and secondary) in case one is blocked. • Go-Bags: Emergency bag (containing First Aid, EpiPens, Asthma puffers, parent contact list, mobile phone) located at exit. • Drills: Evacuation drills practiced every 3 months at different times of the day.</v>
      </c>
      <c r="M12" s="7">
        <f>IF($C12=0,"",INDEX('Risk Register'!$R$5:$R$297,$C12))</f>
        <v>3</v>
      </c>
      <c r="N12" s="7">
        <f>IF($C12=0,"",INDEX('Risk Register'!$S$5:$S$297,$C12))</f>
        <v>3</v>
      </c>
      <c r="O12" s="7">
        <f>IF($C12=0,"",INDEX('Risk Register'!$T$5:$T$297,$C12))</f>
        <v>9</v>
      </c>
      <c r="P12" s="7" t="str">
        <f>IF($C12=0,"",INDEX('Risk Register'!$U$5:$U$297,$C12))</f>
        <v>Moderate</v>
      </c>
      <c r="Q12" s="11">
        <f>IF($C12=0,"",INDEX('Risk Register'!$V$5:$V$297,$C12))</f>
        <v>7</v>
      </c>
    </row>
    <row r="13" spans="1:17" ht="75" customHeight="1" x14ac:dyDescent="0.25">
      <c r="A13" s="14">
        <v>9</v>
      </c>
      <c r="B13" s="7">
        <f>IFERROR(LARGE('Risk Register'!$AD$5:$AD$297,A13),0)</f>
        <v>9169978</v>
      </c>
      <c r="C13" s="7">
        <f>IF(B13&gt;0,MATCH(B13,'Risk Register'!$AD$5:$AD$297,0),0)</f>
        <v>18</v>
      </c>
      <c r="D13" s="14" t="str">
        <f>IF($C13=0,"",INDEX('Risk Register'!$B$5:$B$297,$C13))</f>
        <v>F38-B</v>
      </c>
      <c r="E13" s="7" t="str">
        <f>IF($C13=0,"",INDEX('Risk Register'!$D$5:$D$297,$C13))</f>
        <v>Fremantle</v>
      </c>
      <c r="F13" s="9" t="str">
        <f>IF($C13=0,"",INDEX('Risk Register'!$E$5:$E$297,$C13))</f>
        <v>Volunteers and Students (National Regulation 149)</v>
      </c>
      <c r="G13" s="9" t="str">
        <f>IF($C13=0,"",INDEX('Risk Register'!$L$5:$L$297,$C13))</f>
        <v>Risk of abuse by a prohibited person.</v>
      </c>
      <c r="H13" s="7">
        <f>IF($C13=0,"",INDEX('Risk Register'!$M$5:$M$297,$C13))</f>
        <v>4</v>
      </c>
      <c r="I13" s="7">
        <f>IF($C13=0,"",INDEX('Risk Register'!$N$5:$N$297,$C13))</f>
        <v>4</v>
      </c>
      <c r="J13" s="7">
        <f>IF($C13=0,"",INDEX('Risk Register'!$O$5:$O$297,$C13))</f>
        <v>16</v>
      </c>
      <c r="K13" s="7" t="str">
        <f>IF($C13=0,"",INDEX('Risk Register'!$P$5:$P$297,$C13))</f>
        <v>High</v>
      </c>
      <c r="L13" s="9" t="str">
        <f>IF($C13=0,"",INDEX('Risk Register'!$Q$5:$Q$297,$C13))</f>
        <v>• Verification: Working With Children Check (WWCC) verified online before the person enters the premises. • Register: Details entered into the Staff/Student Register (Reg 153).</v>
      </c>
      <c r="M13" s="7">
        <f>IF($C13=0,"",INDEX('Risk Register'!$R$5:$R$297,$C13))</f>
        <v>3</v>
      </c>
      <c r="N13" s="7">
        <f>IF($C13=0,"",INDEX('Risk Register'!$S$5:$S$297,$C13))</f>
        <v>3</v>
      </c>
      <c r="O13" s="7">
        <f>IF($C13=0,"",INDEX('Risk Register'!$T$5:$T$297,$C13))</f>
        <v>9</v>
      </c>
      <c r="P13" s="7" t="str">
        <f>IF($C13=0,"",INDEX('Risk Register'!$U$5:$U$297,$C13))</f>
        <v>Moderate</v>
      </c>
      <c r="Q13" s="11">
        <f>IF($C13=0,"",INDEX('Risk Register'!$V$5:$V$297,$C13))</f>
        <v>7</v>
      </c>
    </row>
    <row r="14" spans="1:17" ht="75" customHeight="1" x14ac:dyDescent="0.25">
      <c r="A14" s="14">
        <v>10</v>
      </c>
      <c r="B14" s="7">
        <f>IFERROR(LARGE('Risk Register'!$AD$5:$AD$297,A14),0)</f>
        <v>9159976</v>
      </c>
      <c r="C14" s="7">
        <f>IF(B14&gt;0,MATCH(B14,'Risk Register'!$AD$5:$AD$297,0),0)</f>
        <v>20</v>
      </c>
      <c r="D14" s="14" t="str">
        <f>IF($C14=0,"",INDEX('Risk Register'!$B$5:$B$297,$C14))</f>
        <v>F18-C</v>
      </c>
      <c r="E14" s="7" t="str">
        <f>IF($C14=0,"",INDEX('Risk Register'!$D$5:$D$297,$C14))</f>
        <v>Fremantle</v>
      </c>
      <c r="F14" s="9" t="str">
        <f>IF($C14=0,"",INDEX('Risk Register'!$E$5:$E$297,$C14))</f>
        <v>Mystery Box Challenge (Nursery) (National Reg 168 &amp; 93)</v>
      </c>
      <c r="G14" s="9" t="str">
        <f>IF($C14=0,"",INDEX('Risk Register'!$L$5:$L$297,$C14))</f>
        <v>Kids eating the yarn and wrapping it around themselves (specially neck)</v>
      </c>
      <c r="H14" s="7">
        <f>IF($C14=0,"",INDEX('Risk Register'!$M$5:$M$297,$C14))</f>
        <v>5</v>
      </c>
      <c r="I14" s="7">
        <f>IF($C14=0,"",INDEX('Risk Register'!$N$5:$N$297,$C14))</f>
        <v>3</v>
      </c>
      <c r="J14" s="7">
        <f>IF($C14=0,"",INDEX('Risk Register'!$O$5:$O$297,$C14))</f>
        <v>15</v>
      </c>
      <c r="K14" s="7" t="str">
        <f>IF($C14=0,"",INDEX('Risk Register'!$P$5:$P$297,$C14))</f>
        <v>High</v>
      </c>
      <c r="L14" s="9" t="str">
        <f>IF($C14=0,"",INDEX('Risk Register'!$Q$5:$Q$297,$C14))</f>
        <v>Closely supervison</v>
      </c>
      <c r="M14" s="7">
        <f>IF($C14=0,"",INDEX('Risk Register'!$R$5:$R$297,$C14))</f>
        <v>3</v>
      </c>
      <c r="N14" s="7">
        <f>IF($C14=0,"",INDEX('Risk Register'!$S$5:$S$297,$C14))</f>
        <v>3</v>
      </c>
      <c r="O14" s="7">
        <f>IF($C14=0,"",INDEX('Risk Register'!$T$5:$T$297,$C14))</f>
        <v>9</v>
      </c>
      <c r="P14" s="7" t="str">
        <f>IF($C14=0,"",INDEX('Risk Register'!$U$5:$U$297,$C14))</f>
        <v>Moderate</v>
      </c>
      <c r="Q14" s="11">
        <f>IF($C14=0,"",INDEX('Risk Register'!$V$5:$V$297,$C14))</f>
        <v>6</v>
      </c>
    </row>
    <row r="16" spans="1:17" x14ac:dyDescent="0.25">
      <c r="A16" s="15" t="str">
        <f>IF(O14="","",IF(COUNTIFS('Risk Register'!$T$5:$T$297,O14,'Risk Register'!$D$5:$D$297,"Fremantle")-COUNTIF(O5:O14,O14)&gt;0,COUNTIFS('Risk Register'!$T$5:$T$297,O14,'Risk Register'!$D$5:$D$297,"Fremantle")-COUNTIF(O5:O14,O14)&amp;" other Fremantle hazard(s) also have a residual score of "&amp;O14&amp;" - see the Risk Register. Cut-off within that score is by inherent score then register order.",""))</f>
        <v>15 other Fremantle hazard(s) also have a residual score of 9 - see the Risk Register. Cut-off within that score is by inherent score then register order.</v>
      </c>
    </row>
    <row r="18" spans="1:31" ht="15.75" x14ac:dyDescent="0.25">
      <c r="A18" s="16" t="s">
        <v>1313</v>
      </c>
      <c r="S18" s="16" t="s">
        <v>1314</v>
      </c>
    </row>
    <row r="19" spans="1:31" x14ac:dyDescent="0.25">
      <c r="S19" s="17" t="s">
        <v>1315</v>
      </c>
    </row>
    <row r="20" spans="1:31" ht="25.5" x14ac:dyDescent="0.25">
      <c r="S20" s="18" t="s">
        <v>1316</v>
      </c>
      <c r="T20" s="19" t="str">
        <f>'Scales &amp; Matrix'!B5&amp;" ("&amp;1&amp;")"</f>
        <v>Insignificant (1)</v>
      </c>
      <c r="U20" s="19" t="str">
        <f>'Scales &amp; Matrix'!B6&amp;" ("&amp;2&amp;")"</f>
        <v>Minor (2)</v>
      </c>
      <c r="V20" s="19" t="str">
        <f>'Scales &amp; Matrix'!B7&amp;" ("&amp;3&amp;")"</f>
        <v>Moderate (3)</v>
      </c>
      <c r="W20" s="19" t="str">
        <f>'Scales &amp; Matrix'!B8&amp;" ("&amp;4&amp;")"</f>
        <v>Significant (4)</v>
      </c>
      <c r="X20" s="19" t="str">
        <f>'Scales &amp; Matrix'!B9&amp;" ("&amp;5&amp;")"</f>
        <v>Major (5)</v>
      </c>
      <c r="AA20" t="str">
        <f>'Scales &amp; Matrix'!B13</f>
        <v>Moderate</v>
      </c>
      <c r="AB20" t="str">
        <f>'Scales &amp; Matrix'!C13</f>
        <v>Moderate</v>
      </c>
      <c r="AC20" t="str">
        <f>'Scales &amp; Matrix'!D13</f>
        <v>High</v>
      </c>
      <c r="AD20" t="str">
        <f>'Scales &amp; Matrix'!E13</f>
        <v>Critical</v>
      </c>
      <c r="AE20" t="str">
        <f>'Scales &amp; Matrix'!F13</f>
        <v>Critical</v>
      </c>
    </row>
    <row r="21" spans="1:31" ht="37.5" customHeight="1" x14ac:dyDescent="0.25">
      <c r="S21" s="19" t="str">
        <f>'Scales &amp; Matrix'!E9&amp;" ("&amp;5&amp;")"</f>
        <v>Almost Certain (5)</v>
      </c>
      <c r="T21" s="20" t="str">
        <f>TRIM(IF(AND($H$5=1,$I$5=5),$D$5&amp;" ","")&amp;IF(AND($H$6=1,$I$6=5),$D$6&amp;" ","")&amp;IF(AND($H$7=1,$I$7=5),$D$7&amp;" ","")&amp;IF(AND($H$8=1,$I$8=5),$D$8&amp;" ","")&amp;IF(AND($H$9=1,$I$9=5),$D$9&amp;" ","")&amp;IF(AND($H$10=1,$I$10=5),$D$10&amp;" ","")&amp;IF(AND($H$11=1,$I$11=5),$D$11&amp;" ","")&amp;IF(AND($H$12=1,$I$12=5),$D$12&amp;" ","")&amp;IF(AND($H$13=1,$I$13=5),$D$13&amp;" ","")&amp;IF(AND($H$14=1,$I$14=5),$D$14&amp;" ",""))</f>
        <v/>
      </c>
      <c r="U21" s="20" t="str">
        <f>TRIM(IF(AND($H$5=2,$I$5=5),$D$5&amp;" ","")&amp;IF(AND($H$6=2,$I$6=5),$D$6&amp;" ","")&amp;IF(AND($H$7=2,$I$7=5),$D$7&amp;" ","")&amp;IF(AND($H$8=2,$I$8=5),$D$8&amp;" ","")&amp;IF(AND($H$9=2,$I$9=5),$D$9&amp;" ","")&amp;IF(AND($H$10=2,$I$10=5),$D$10&amp;" ","")&amp;IF(AND($H$11=2,$I$11=5),$D$11&amp;" ","")&amp;IF(AND($H$12=2,$I$12=5),$D$12&amp;" ","")&amp;IF(AND($H$13=2,$I$13=5),$D$13&amp;" ","")&amp;IF(AND($H$14=2,$I$14=5),$D$14&amp;" ",""))</f>
        <v/>
      </c>
      <c r="V21" s="20" t="str">
        <f>TRIM(IF(AND($H$5=3,$I$5=5),$D$5&amp;" ","")&amp;IF(AND($H$6=3,$I$6=5),$D$6&amp;" ","")&amp;IF(AND($H$7=3,$I$7=5),$D$7&amp;" ","")&amp;IF(AND($H$8=3,$I$8=5),$D$8&amp;" ","")&amp;IF(AND($H$9=3,$I$9=5),$D$9&amp;" ","")&amp;IF(AND($H$10=3,$I$10=5),$D$10&amp;" ","")&amp;IF(AND($H$11=3,$I$11=5),$D$11&amp;" ","")&amp;IF(AND($H$12=3,$I$12=5),$D$12&amp;" ","")&amp;IF(AND($H$13=3,$I$13=5),$D$13&amp;" ","")&amp;IF(AND($H$14=3,$I$14=5),$D$14&amp;" ",""))</f>
        <v/>
      </c>
      <c r="W21" s="20" t="str">
        <f>TRIM(IF(AND($H$5=4,$I$5=5),$D$5&amp;" ","")&amp;IF(AND($H$6=4,$I$6=5),$D$6&amp;" ","")&amp;IF(AND($H$7=4,$I$7=5),$D$7&amp;" ","")&amp;IF(AND($H$8=4,$I$8=5),$D$8&amp;" ","")&amp;IF(AND($H$9=4,$I$9=5),$D$9&amp;" ","")&amp;IF(AND($H$10=4,$I$10=5),$D$10&amp;" ","")&amp;IF(AND($H$11=4,$I$11=5),$D$11&amp;" ","")&amp;IF(AND($H$12=4,$I$12=5),$D$12&amp;" ","")&amp;IF(AND($H$13=4,$I$13=5),$D$13&amp;" ","")&amp;IF(AND($H$14=4,$I$14=5),$D$14&amp;" ",""))</f>
        <v/>
      </c>
      <c r="X21" s="20" t="str">
        <f>TRIM(IF(AND($H$5=5,$I$5=5),$D$5&amp;" ","")&amp;IF(AND($H$6=5,$I$6=5),$D$6&amp;" ","")&amp;IF(AND($H$7=5,$I$7=5),$D$7&amp;" ","")&amp;IF(AND($H$8=5,$I$8=5),$D$8&amp;" ","")&amp;IF(AND($H$9=5,$I$9=5),$D$9&amp;" ","")&amp;IF(AND($H$10=5,$I$10=5),$D$10&amp;" ","")&amp;IF(AND($H$11=5,$I$11=5),$D$11&amp;" ","")&amp;IF(AND($H$12=5,$I$12=5),$D$12&amp;" ","")&amp;IF(AND($H$13=5,$I$13=5),$D$13&amp;" ","")&amp;IF(AND($H$14=5,$I$14=5),$D$14&amp;" ",""))</f>
        <v/>
      </c>
      <c r="AA21" t="str">
        <f>'Scales &amp; Matrix'!B14</f>
        <v>Moderate</v>
      </c>
      <c r="AB21" t="str">
        <f>'Scales &amp; Matrix'!C14</f>
        <v>Moderate</v>
      </c>
      <c r="AC21" t="str">
        <f>'Scales &amp; Matrix'!D14</f>
        <v>High</v>
      </c>
      <c r="AD21" t="str">
        <f>'Scales &amp; Matrix'!E14</f>
        <v>High</v>
      </c>
      <c r="AE21" t="str">
        <f>'Scales &amp; Matrix'!F14</f>
        <v>Critical</v>
      </c>
    </row>
    <row r="22" spans="1:31" ht="37.5" customHeight="1" x14ac:dyDescent="0.25">
      <c r="S22" s="19" t="str">
        <f>'Scales &amp; Matrix'!E8&amp;" ("&amp;4&amp;")"</f>
        <v>Likely (4)</v>
      </c>
      <c r="T22" s="20" t="str">
        <f>TRIM(IF(AND($H$5=1,$I$5=4),$D$5&amp;" ","")&amp;IF(AND($H$6=1,$I$6=4),$D$6&amp;" ","")&amp;IF(AND($H$7=1,$I$7=4),$D$7&amp;" ","")&amp;IF(AND($H$8=1,$I$8=4),$D$8&amp;" ","")&amp;IF(AND($H$9=1,$I$9=4),$D$9&amp;" ","")&amp;IF(AND($H$10=1,$I$10=4),$D$10&amp;" ","")&amp;IF(AND($H$11=1,$I$11=4),$D$11&amp;" ","")&amp;IF(AND($H$12=1,$I$12=4),$D$12&amp;" ","")&amp;IF(AND($H$13=1,$I$13=4),$D$13&amp;" ","")&amp;IF(AND($H$14=1,$I$14=4),$D$14&amp;" ",""))</f>
        <v/>
      </c>
      <c r="U22" s="20" t="str">
        <f>TRIM(IF(AND($H$5=2,$I$5=4),$D$5&amp;" ","")&amp;IF(AND($H$6=2,$I$6=4),$D$6&amp;" ","")&amp;IF(AND($H$7=2,$I$7=4),$D$7&amp;" ","")&amp;IF(AND($H$8=2,$I$8=4),$D$8&amp;" ","")&amp;IF(AND($H$9=2,$I$9=4),$D$9&amp;" ","")&amp;IF(AND($H$10=2,$I$10=4),$D$10&amp;" ","")&amp;IF(AND($H$11=2,$I$11=4),$D$11&amp;" ","")&amp;IF(AND($H$12=2,$I$12=4),$D$12&amp;" ","")&amp;IF(AND($H$13=2,$I$13=4),$D$13&amp;" ","")&amp;IF(AND($H$14=2,$I$14=4),$D$14&amp;" ",""))</f>
        <v/>
      </c>
      <c r="V22" s="20" t="str">
        <f>TRIM(IF(AND($H$5=3,$I$5=4),$D$5&amp;" ","")&amp;IF(AND($H$6=3,$I$6=4),$D$6&amp;" ","")&amp;IF(AND($H$7=3,$I$7=4),$D$7&amp;" ","")&amp;IF(AND($H$8=3,$I$8=4),$D$8&amp;" ","")&amp;IF(AND($H$9=3,$I$9=4),$D$9&amp;" ","")&amp;IF(AND($H$10=3,$I$10=4),$D$10&amp;" ","")&amp;IF(AND($H$11=3,$I$11=4),$D$11&amp;" ","")&amp;IF(AND($H$12=3,$I$12=4),$D$12&amp;" ","")&amp;IF(AND($H$13=3,$I$13=4),$D$13&amp;" ","")&amp;IF(AND($H$14=3,$I$14=4),$D$14&amp;" ",""))</f>
        <v/>
      </c>
      <c r="W22" s="20" t="str">
        <f>TRIM(IF(AND($H$5=4,$I$5=4),$D$5&amp;" ","")&amp;IF(AND($H$6=4,$I$6=4),$D$6&amp;" ","")&amp;IF(AND($H$7=4,$I$7=4),$D$7&amp;" ","")&amp;IF(AND($H$8=4,$I$8=4),$D$8&amp;" ","")&amp;IF(AND($H$9=4,$I$9=4),$D$9&amp;" ","")&amp;IF(AND($H$10=4,$I$10=4),$D$10&amp;" ","")&amp;IF(AND($H$11=4,$I$11=4),$D$11&amp;" ","")&amp;IF(AND($H$12=4,$I$12=4),$D$12&amp;" ","")&amp;IF(AND($H$13=4,$I$13=4),$D$13&amp;" ","")&amp;IF(AND($H$14=4,$I$14=4),$D$14&amp;" ",""))</f>
        <v>F02-C F38-B</v>
      </c>
      <c r="X22" s="20" t="str">
        <f>TRIM(IF(AND($H$5=5,$I$5=4),$D$5&amp;" ","")&amp;IF(AND($H$6=5,$I$6=4),$D$6&amp;" ","")&amp;IF(AND($H$7=5,$I$7=4),$D$7&amp;" ","")&amp;IF(AND($H$8=5,$I$8=4),$D$8&amp;" ","")&amp;IF(AND($H$9=5,$I$9=4),$D$9&amp;" ","")&amp;IF(AND($H$10=5,$I$10=4),$D$10&amp;" ","")&amp;IF(AND($H$11=5,$I$11=4),$D$11&amp;" ","")&amp;IF(AND($H$12=5,$I$12=4),$D$12&amp;" ","")&amp;IF(AND($H$13=5,$I$13=4),$D$13&amp;" ","")&amp;IF(AND($H$14=5,$I$14=4),$D$14&amp;" ",""))</f>
        <v/>
      </c>
      <c r="AA22" t="str">
        <f>'Scales &amp; Matrix'!B15</f>
        <v>Low</v>
      </c>
      <c r="AB22" t="str">
        <f>'Scales &amp; Matrix'!C15</f>
        <v>Moderate</v>
      </c>
      <c r="AC22" t="str">
        <f>'Scales &amp; Matrix'!D15</f>
        <v>Moderate</v>
      </c>
      <c r="AD22" t="str">
        <f>'Scales &amp; Matrix'!E15</f>
        <v>High</v>
      </c>
      <c r="AE22" t="str">
        <f>'Scales &amp; Matrix'!F15</f>
        <v>High</v>
      </c>
    </row>
    <row r="23" spans="1:31" ht="37.5" customHeight="1" x14ac:dyDescent="0.25">
      <c r="S23" s="19" t="str">
        <f>'Scales &amp; Matrix'!E7&amp;" ("&amp;3&amp;")"</f>
        <v>Possible (3)</v>
      </c>
      <c r="T23" s="20" t="str">
        <f>TRIM(IF(AND($H$5=1,$I$5=3),$D$5&amp;" ","")&amp;IF(AND($H$6=1,$I$6=3),$D$6&amp;" ","")&amp;IF(AND($H$7=1,$I$7=3),$D$7&amp;" ","")&amp;IF(AND($H$8=1,$I$8=3),$D$8&amp;" ","")&amp;IF(AND($H$9=1,$I$9=3),$D$9&amp;" ","")&amp;IF(AND($H$10=1,$I$10=3),$D$10&amp;" ","")&amp;IF(AND($H$11=1,$I$11=3),$D$11&amp;" ","")&amp;IF(AND($H$12=1,$I$12=3),$D$12&amp;" ","")&amp;IF(AND($H$13=1,$I$13=3),$D$13&amp;" ","")&amp;IF(AND($H$14=1,$I$14=3),$D$14&amp;" ",""))</f>
        <v/>
      </c>
      <c r="U23" s="20" t="str">
        <f>TRIM(IF(AND($H$5=2,$I$5=3),$D$5&amp;" ","")&amp;IF(AND($H$6=2,$I$6=3),$D$6&amp;" ","")&amp;IF(AND($H$7=2,$I$7=3),$D$7&amp;" ","")&amp;IF(AND($H$8=2,$I$8=3),$D$8&amp;" ","")&amp;IF(AND($H$9=2,$I$9=3),$D$9&amp;" ","")&amp;IF(AND($H$10=2,$I$10=3),$D$10&amp;" ","")&amp;IF(AND($H$11=2,$I$11=3),$D$11&amp;" ","")&amp;IF(AND($H$12=2,$I$12=3),$D$12&amp;" ","")&amp;IF(AND($H$13=2,$I$13=3),$D$13&amp;" ","")&amp;IF(AND($H$14=2,$I$14=3),$D$14&amp;" ",""))</f>
        <v/>
      </c>
      <c r="V23" s="20" t="str">
        <f>TRIM(IF(AND($H$5=3,$I$5=3),$D$5&amp;" ","")&amp;IF(AND($H$6=3,$I$6=3),$D$6&amp;" ","")&amp;IF(AND($H$7=3,$I$7=3),$D$7&amp;" ","")&amp;IF(AND($H$8=3,$I$8=3),$D$8&amp;" ","")&amp;IF(AND($H$9=3,$I$9=3),$D$9&amp;" ","")&amp;IF(AND($H$10=3,$I$10=3),$D$10&amp;" ","")&amp;IF(AND($H$11=3,$I$11=3),$D$11&amp;" ","")&amp;IF(AND($H$12=3,$I$12=3),$D$12&amp;" ","")&amp;IF(AND($H$13=3,$I$13=3),$D$13&amp;" ","")&amp;IF(AND($H$14=3,$I$14=3),$D$14&amp;" ",""))</f>
        <v>F03-C</v>
      </c>
      <c r="W23" s="20" t="str">
        <f>TRIM(IF(AND($H$5=4,$I$5=3),$D$5&amp;" ","")&amp;IF(AND($H$6=4,$I$6=3),$D$6&amp;" ","")&amp;IF(AND($H$7=4,$I$7=3),$D$7&amp;" ","")&amp;IF(AND($H$8=4,$I$8=3),$D$8&amp;" ","")&amp;IF(AND($H$9=4,$I$9=3),$D$9&amp;" ","")&amp;IF(AND($H$10=4,$I$10=3),$D$10&amp;" ","")&amp;IF(AND($H$11=4,$I$11=3),$D$11&amp;" ","")&amp;IF(AND($H$12=4,$I$12=3),$D$12&amp;" ","")&amp;IF(AND($H$13=4,$I$13=3),$D$13&amp;" ","")&amp;IF(AND($H$14=4,$I$14=3),$D$14&amp;" ",""))</f>
        <v>F01-A</v>
      </c>
      <c r="X23" s="20" t="str">
        <f>TRIM(IF(AND($H$5=5,$I$5=3),$D$5&amp;" ","")&amp;IF(AND($H$6=5,$I$6=3),$D$6&amp;" ","")&amp;IF(AND($H$7=5,$I$7=3),$D$7&amp;" ","")&amp;IF(AND($H$8=5,$I$8=3),$D$8&amp;" ","")&amp;IF(AND($H$9=5,$I$9=3),$D$9&amp;" ","")&amp;IF(AND($H$10=5,$I$10=3),$D$10&amp;" ","")&amp;IF(AND($H$11=5,$I$11=3),$D$11&amp;" ","")&amp;IF(AND($H$12=5,$I$12=3),$D$12&amp;" ","")&amp;IF(AND($H$13=5,$I$13=3),$D$13&amp;" ","")&amp;IF(AND($H$14=5,$I$14=3),$D$14&amp;" ",""))</f>
        <v>F09-A F24-B F28-C F31-B F18-C</v>
      </c>
      <c r="AA23" t="str">
        <f>'Scales &amp; Matrix'!B16</f>
        <v>Very Low</v>
      </c>
      <c r="AB23" t="str">
        <f>'Scales &amp; Matrix'!C16</f>
        <v>Low</v>
      </c>
      <c r="AC23" t="str">
        <f>'Scales &amp; Matrix'!D16</f>
        <v>Moderate</v>
      </c>
      <c r="AD23" t="str">
        <f>'Scales &amp; Matrix'!E16</f>
        <v>Moderate</v>
      </c>
      <c r="AE23" t="str">
        <f>'Scales &amp; Matrix'!F16</f>
        <v>High</v>
      </c>
    </row>
    <row r="24" spans="1:31" ht="37.5" customHeight="1" x14ac:dyDescent="0.25">
      <c r="S24" s="19" t="str">
        <f>'Scales &amp; Matrix'!E6&amp;" ("&amp;2&amp;")"</f>
        <v>Unlikely (2)</v>
      </c>
      <c r="T24" s="20" t="str">
        <f>TRIM(IF(AND($H$5=1,$I$5=2),$D$5&amp;" ","")&amp;IF(AND($H$6=1,$I$6=2),$D$6&amp;" ","")&amp;IF(AND($H$7=1,$I$7=2),$D$7&amp;" ","")&amp;IF(AND($H$8=1,$I$8=2),$D$8&amp;" ","")&amp;IF(AND($H$9=1,$I$9=2),$D$9&amp;" ","")&amp;IF(AND($H$10=1,$I$10=2),$D$10&amp;" ","")&amp;IF(AND($H$11=1,$I$11=2),$D$11&amp;" ","")&amp;IF(AND($H$12=1,$I$12=2),$D$12&amp;" ","")&amp;IF(AND($H$13=1,$I$13=2),$D$13&amp;" ","")&amp;IF(AND($H$14=1,$I$14=2),$D$14&amp;" ",""))</f>
        <v/>
      </c>
      <c r="U24" s="20" t="str">
        <f>TRIM(IF(AND($H$5=2,$I$5=2),$D$5&amp;" ","")&amp;IF(AND($H$6=2,$I$6=2),$D$6&amp;" ","")&amp;IF(AND($H$7=2,$I$7=2),$D$7&amp;" ","")&amp;IF(AND($H$8=2,$I$8=2),$D$8&amp;" ","")&amp;IF(AND($H$9=2,$I$9=2),$D$9&amp;" ","")&amp;IF(AND($H$10=2,$I$10=2),$D$10&amp;" ","")&amp;IF(AND($H$11=2,$I$11=2),$D$11&amp;" ","")&amp;IF(AND($H$12=2,$I$12=2),$D$12&amp;" ","")&amp;IF(AND($H$13=2,$I$13=2),$D$13&amp;" ","")&amp;IF(AND($H$14=2,$I$14=2),$D$14&amp;" ",""))</f>
        <v/>
      </c>
      <c r="V24" s="20" t="str">
        <f>TRIM(IF(AND($H$5=3,$I$5=2),$D$5&amp;" ","")&amp;IF(AND($H$6=3,$I$6=2),$D$6&amp;" ","")&amp;IF(AND($H$7=3,$I$7=2),$D$7&amp;" ","")&amp;IF(AND($H$8=3,$I$8=2),$D$8&amp;" ","")&amp;IF(AND($H$9=3,$I$9=2),$D$9&amp;" ","")&amp;IF(AND($H$10=3,$I$10=2),$D$10&amp;" ","")&amp;IF(AND($H$11=3,$I$11=2),$D$11&amp;" ","")&amp;IF(AND($H$12=3,$I$12=2),$D$12&amp;" ","")&amp;IF(AND($H$13=3,$I$13=2),$D$13&amp;" ","")&amp;IF(AND($H$14=3,$I$14=2),$D$14&amp;" ",""))</f>
        <v/>
      </c>
      <c r="W24" s="20" t="str">
        <f>TRIM(IF(AND($H$5=4,$I$5=2),$D$5&amp;" ","")&amp;IF(AND($H$6=4,$I$6=2),$D$6&amp;" ","")&amp;IF(AND($H$7=4,$I$7=2),$D$7&amp;" ","")&amp;IF(AND($H$8=4,$I$8=2),$D$8&amp;" ","")&amp;IF(AND($H$9=4,$I$9=2),$D$9&amp;" ","")&amp;IF(AND($H$10=4,$I$10=2),$D$10&amp;" ","")&amp;IF(AND($H$11=4,$I$11=2),$D$11&amp;" ","")&amp;IF(AND($H$12=4,$I$12=2),$D$12&amp;" ","")&amp;IF(AND($H$13=4,$I$13=2),$D$13&amp;" ","")&amp;IF(AND($H$14=4,$I$14=2),$D$14&amp;" ",""))</f>
        <v/>
      </c>
      <c r="X24" s="20" t="str">
        <f>TRIM(IF(AND($H$5=5,$I$5=2),$D$5&amp;" ","")&amp;IF(AND($H$6=5,$I$6=2),$D$6&amp;" ","")&amp;IF(AND($H$7=5,$I$7=2),$D$7&amp;" ","")&amp;IF(AND($H$8=5,$I$8=2),$D$8&amp;" ","")&amp;IF(AND($H$9=5,$I$9=2),$D$9&amp;" ","")&amp;IF(AND($H$10=5,$I$10=2),$D$10&amp;" ","")&amp;IF(AND($H$11=5,$I$11=2),$D$11&amp;" ","")&amp;IF(AND($H$12=5,$I$12=2),$D$12&amp;" ","")&amp;IF(AND($H$13=5,$I$13=2),$D$13&amp;" ","")&amp;IF(AND($H$14=5,$I$14=2),$D$14&amp;" ",""))</f>
        <v>F28-E</v>
      </c>
      <c r="AA24" t="str">
        <f>'Scales &amp; Matrix'!B17</f>
        <v>Very Low</v>
      </c>
      <c r="AB24" t="str">
        <f>'Scales &amp; Matrix'!C17</f>
        <v>Very Low</v>
      </c>
      <c r="AC24" t="str">
        <f>'Scales &amp; Matrix'!D17</f>
        <v>Low</v>
      </c>
      <c r="AD24" t="str">
        <f>'Scales &amp; Matrix'!E17</f>
        <v>Moderate</v>
      </c>
      <c r="AE24" t="str">
        <f>'Scales &amp; Matrix'!F17</f>
        <v>Moderate</v>
      </c>
    </row>
    <row r="25" spans="1:31" ht="37.5" customHeight="1" x14ac:dyDescent="0.25">
      <c r="S25" s="19" t="str">
        <f>'Scales &amp; Matrix'!E5&amp;" ("&amp;1&amp;")"</f>
        <v>Rare (1)</v>
      </c>
      <c r="T25" s="20" t="str">
        <f>TRIM(IF(AND($H$5=1,$I$5=1),$D$5&amp;" ","")&amp;IF(AND($H$6=1,$I$6=1),$D$6&amp;" ","")&amp;IF(AND($H$7=1,$I$7=1),$D$7&amp;" ","")&amp;IF(AND($H$8=1,$I$8=1),$D$8&amp;" ","")&amp;IF(AND($H$9=1,$I$9=1),$D$9&amp;" ","")&amp;IF(AND($H$10=1,$I$10=1),$D$10&amp;" ","")&amp;IF(AND($H$11=1,$I$11=1),$D$11&amp;" ","")&amp;IF(AND($H$12=1,$I$12=1),$D$12&amp;" ","")&amp;IF(AND($H$13=1,$I$13=1),$D$13&amp;" ","")&amp;IF(AND($H$14=1,$I$14=1),$D$14&amp;" ",""))</f>
        <v/>
      </c>
      <c r="U25" s="20" t="str">
        <f>TRIM(IF(AND($H$5=2,$I$5=1),$D$5&amp;" ","")&amp;IF(AND($H$6=2,$I$6=1),$D$6&amp;" ","")&amp;IF(AND($H$7=2,$I$7=1),$D$7&amp;" ","")&amp;IF(AND($H$8=2,$I$8=1),$D$8&amp;" ","")&amp;IF(AND($H$9=2,$I$9=1),$D$9&amp;" ","")&amp;IF(AND($H$10=2,$I$10=1),$D$10&amp;" ","")&amp;IF(AND($H$11=2,$I$11=1),$D$11&amp;" ","")&amp;IF(AND($H$12=2,$I$12=1),$D$12&amp;" ","")&amp;IF(AND($H$13=2,$I$13=1),$D$13&amp;" ","")&amp;IF(AND($H$14=2,$I$14=1),$D$14&amp;" ",""))</f>
        <v/>
      </c>
      <c r="V25" s="20" t="str">
        <f>TRIM(IF(AND($H$5=3,$I$5=1),$D$5&amp;" ","")&amp;IF(AND($H$6=3,$I$6=1),$D$6&amp;" ","")&amp;IF(AND($H$7=3,$I$7=1),$D$7&amp;" ","")&amp;IF(AND($H$8=3,$I$8=1),$D$8&amp;" ","")&amp;IF(AND($H$9=3,$I$9=1),$D$9&amp;" ","")&amp;IF(AND($H$10=3,$I$10=1),$D$10&amp;" ","")&amp;IF(AND($H$11=3,$I$11=1),$D$11&amp;" ","")&amp;IF(AND($H$12=3,$I$12=1),$D$12&amp;" ","")&amp;IF(AND($H$13=3,$I$13=1),$D$13&amp;" ","")&amp;IF(AND($H$14=3,$I$14=1),$D$14&amp;" ",""))</f>
        <v/>
      </c>
      <c r="W25" s="20" t="str">
        <f>TRIM(IF(AND($H$5=4,$I$5=1),$D$5&amp;" ","")&amp;IF(AND($H$6=4,$I$6=1),$D$6&amp;" ","")&amp;IF(AND($H$7=4,$I$7=1),$D$7&amp;" ","")&amp;IF(AND($H$8=4,$I$8=1),$D$8&amp;" ","")&amp;IF(AND($H$9=4,$I$9=1),$D$9&amp;" ","")&amp;IF(AND($H$10=4,$I$10=1),$D$10&amp;" ","")&amp;IF(AND($H$11=4,$I$11=1),$D$11&amp;" ","")&amp;IF(AND($H$12=4,$I$12=1),$D$12&amp;" ","")&amp;IF(AND($H$13=4,$I$13=1),$D$13&amp;" ","")&amp;IF(AND($H$14=4,$I$14=1),$D$14&amp;" ",""))</f>
        <v/>
      </c>
      <c r="X25" s="20" t="str">
        <f>TRIM(IF(AND($H$5=5,$I$5=1),$D$5&amp;" ","")&amp;IF(AND($H$6=5,$I$6=1),$D$6&amp;" ","")&amp;IF(AND($H$7=5,$I$7=1),$D$7&amp;" ","")&amp;IF(AND($H$8=5,$I$8=1),$D$8&amp;" ","")&amp;IF(AND($H$9=5,$I$9=1),$D$9&amp;" ","")&amp;IF(AND($H$10=5,$I$10=1),$D$10&amp;" ","")&amp;IF(AND($H$11=5,$I$11=1),$D$11&amp;" ","")&amp;IF(AND($H$12=5,$I$12=1),$D$12&amp;" ","")&amp;IF(AND($H$13=5,$I$13=1),$D$13&amp;" ","")&amp;IF(AND($H$14=5,$I$14=1),$D$14&amp;" ",""))</f>
        <v/>
      </c>
    </row>
    <row r="27" spans="1:31" x14ac:dyDescent="0.25">
      <c r="S27" s="17" t="s">
        <v>1317</v>
      </c>
    </row>
    <row r="28" spans="1:31" ht="25.5" x14ac:dyDescent="0.25">
      <c r="S28" s="18" t="s">
        <v>1316</v>
      </c>
      <c r="T28" s="19" t="str">
        <f>'Scales &amp; Matrix'!B5&amp;" ("&amp;1&amp;")"</f>
        <v>Insignificant (1)</v>
      </c>
      <c r="U28" s="19" t="str">
        <f>'Scales &amp; Matrix'!B6&amp;" ("&amp;2&amp;")"</f>
        <v>Minor (2)</v>
      </c>
      <c r="V28" s="19" t="str">
        <f>'Scales &amp; Matrix'!B7&amp;" ("&amp;3&amp;")"</f>
        <v>Moderate (3)</v>
      </c>
      <c r="W28" s="19" t="str">
        <f>'Scales &amp; Matrix'!B8&amp;" ("&amp;4&amp;")"</f>
        <v>Significant (4)</v>
      </c>
      <c r="X28" s="19" t="str">
        <f>'Scales &amp; Matrix'!B9&amp;" ("&amp;5&amp;")"</f>
        <v>Major (5)</v>
      </c>
    </row>
    <row r="29" spans="1:31" ht="37.5" customHeight="1" x14ac:dyDescent="0.25">
      <c r="S29" s="19" t="str">
        <f>'Scales &amp; Matrix'!E9&amp;" ("&amp;5&amp;")"</f>
        <v>Almost Certain (5)</v>
      </c>
      <c r="T29" s="20" t="str">
        <f>TRIM(IF(AND($M$5=1,$N$5=5),$D$5&amp;" ","")&amp;IF(AND($M$6=1,$N$6=5),$D$6&amp;" ","")&amp;IF(AND($M$7=1,$N$7=5),$D$7&amp;" ","")&amp;IF(AND($M$8=1,$N$8=5),$D$8&amp;" ","")&amp;IF(AND($M$9=1,$N$9=5),$D$9&amp;" ","")&amp;IF(AND($M$10=1,$N$10=5),$D$10&amp;" ","")&amp;IF(AND($M$11=1,$N$11=5),$D$11&amp;" ","")&amp;IF(AND($M$12=1,$N$12=5),$D$12&amp;" ","")&amp;IF(AND($M$13=1,$N$13=5),$D$13&amp;" ","")&amp;IF(AND($M$14=1,$N$14=5),$D$14&amp;" ",""))</f>
        <v/>
      </c>
      <c r="U29" s="20" t="str">
        <f>TRIM(IF(AND($M$5=2,$N$5=5),$D$5&amp;" ","")&amp;IF(AND($M$6=2,$N$6=5),$D$6&amp;" ","")&amp;IF(AND($M$7=2,$N$7=5),$D$7&amp;" ","")&amp;IF(AND($M$8=2,$N$8=5),$D$8&amp;" ","")&amp;IF(AND($M$9=2,$N$9=5),$D$9&amp;" ","")&amp;IF(AND($M$10=2,$N$10=5),$D$10&amp;" ","")&amp;IF(AND($M$11=2,$N$11=5),$D$11&amp;" ","")&amp;IF(AND($M$12=2,$N$12=5),$D$12&amp;" ","")&amp;IF(AND($M$13=2,$N$13=5),$D$13&amp;" ","")&amp;IF(AND($M$14=2,$N$14=5),$D$14&amp;" ",""))</f>
        <v/>
      </c>
      <c r="V29" s="20" t="str">
        <f>TRIM(IF(AND($M$5=3,$N$5=5),$D$5&amp;" ","")&amp;IF(AND($M$6=3,$N$6=5),$D$6&amp;" ","")&amp;IF(AND($M$7=3,$N$7=5),$D$7&amp;" ","")&amp;IF(AND($M$8=3,$N$8=5),$D$8&amp;" ","")&amp;IF(AND($M$9=3,$N$9=5),$D$9&amp;" ","")&amp;IF(AND($M$10=3,$N$10=5),$D$10&amp;" ","")&amp;IF(AND($M$11=3,$N$11=5),$D$11&amp;" ","")&amp;IF(AND($M$12=3,$N$12=5),$D$12&amp;" ","")&amp;IF(AND($M$13=3,$N$13=5),$D$13&amp;" ","")&amp;IF(AND($M$14=3,$N$14=5),$D$14&amp;" ",""))</f>
        <v/>
      </c>
      <c r="W29" s="20" t="str">
        <f>TRIM(IF(AND($M$5=4,$N$5=5),$D$5&amp;" ","")&amp;IF(AND($M$6=4,$N$6=5),$D$6&amp;" ","")&amp;IF(AND($M$7=4,$N$7=5),$D$7&amp;" ","")&amp;IF(AND($M$8=4,$N$8=5),$D$8&amp;" ","")&amp;IF(AND($M$9=4,$N$9=5),$D$9&amp;" ","")&amp;IF(AND($M$10=4,$N$10=5),$D$10&amp;" ","")&amp;IF(AND($M$11=4,$N$11=5),$D$11&amp;" ","")&amp;IF(AND($M$12=4,$N$12=5),$D$12&amp;" ","")&amp;IF(AND($M$13=4,$N$13=5),$D$13&amp;" ","")&amp;IF(AND($M$14=4,$N$14=5),$D$14&amp;" ",""))</f>
        <v/>
      </c>
      <c r="X29" s="20" t="str">
        <f>TRIM(IF(AND($M$5=5,$N$5=5),$D$5&amp;" ","")&amp;IF(AND($M$6=5,$N$6=5),$D$6&amp;" ","")&amp;IF(AND($M$7=5,$N$7=5),$D$7&amp;" ","")&amp;IF(AND($M$8=5,$N$8=5),$D$8&amp;" ","")&amp;IF(AND($M$9=5,$N$9=5),$D$9&amp;" ","")&amp;IF(AND($M$10=5,$N$10=5),$D$10&amp;" ","")&amp;IF(AND($M$11=5,$N$11=5),$D$11&amp;" ","")&amp;IF(AND($M$12=5,$N$12=5),$D$12&amp;" ","")&amp;IF(AND($M$13=5,$N$13=5),$D$13&amp;" ","")&amp;IF(AND($M$14=5,$N$14=5),$D$14&amp;" ",""))</f>
        <v/>
      </c>
    </row>
    <row r="30" spans="1:31" ht="37.5" customHeight="1" x14ac:dyDescent="0.25">
      <c r="S30" s="19" t="str">
        <f>'Scales &amp; Matrix'!E8&amp;" ("&amp;4&amp;")"</f>
        <v>Likely (4)</v>
      </c>
      <c r="T30" s="20" t="str">
        <f>TRIM(IF(AND($M$5=1,$N$5=4),$D$5&amp;" ","")&amp;IF(AND($M$6=1,$N$6=4),$D$6&amp;" ","")&amp;IF(AND($M$7=1,$N$7=4),$D$7&amp;" ","")&amp;IF(AND($M$8=1,$N$8=4),$D$8&amp;" ","")&amp;IF(AND($M$9=1,$N$9=4),$D$9&amp;" ","")&amp;IF(AND($M$10=1,$N$10=4),$D$10&amp;" ","")&amp;IF(AND($M$11=1,$N$11=4),$D$11&amp;" ","")&amp;IF(AND($M$12=1,$N$12=4),$D$12&amp;" ","")&amp;IF(AND($M$13=1,$N$13=4),$D$13&amp;" ","")&amp;IF(AND($M$14=1,$N$14=4),$D$14&amp;" ",""))</f>
        <v/>
      </c>
      <c r="U30" s="20" t="str">
        <f>TRIM(IF(AND($M$5=2,$N$5=4),$D$5&amp;" ","")&amp;IF(AND($M$6=2,$N$6=4),$D$6&amp;" ","")&amp;IF(AND($M$7=2,$N$7=4),$D$7&amp;" ","")&amp;IF(AND($M$8=2,$N$8=4),$D$8&amp;" ","")&amp;IF(AND($M$9=2,$N$9=4),$D$9&amp;" ","")&amp;IF(AND($M$10=2,$N$10=4),$D$10&amp;" ","")&amp;IF(AND($M$11=2,$N$11=4),$D$11&amp;" ","")&amp;IF(AND($M$12=2,$N$12=4),$D$12&amp;" ","")&amp;IF(AND($M$13=2,$N$13=4),$D$13&amp;" ","")&amp;IF(AND($M$14=2,$N$14=4),$D$14&amp;" ",""))</f>
        <v/>
      </c>
      <c r="V30" s="20" t="str">
        <f>TRIM(IF(AND($M$5=3,$N$5=4),$D$5&amp;" ","")&amp;IF(AND($M$6=3,$N$6=4),$D$6&amp;" ","")&amp;IF(AND($M$7=3,$N$7=4),$D$7&amp;" ","")&amp;IF(AND($M$8=3,$N$8=4),$D$8&amp;" ","")&amp;IF(AND($M$9=3,$N$9=4),$D$9&amp;" ","")&amp;IF(AND($M$10=3,$N$10=4),$D$10&amp;" ","")&amp;IF(AND($M$11=3,$N$11=4),$D$11&amp;" ","")&amp;IF(AND($M$12=3,$N$12=4),$D$12&amp;" ","")&amp;IF(AND($M$13=3,$N$13=4),$D$13&amp;" ","")&amp;IF(AND($M$14=3,$N$14=4),$D$14&amp;" ",""))</f>
        <v/>
      </c>
      <c r="W30" s="20" t="str">
        <f>TRIM(IF(AND($M$5=4,$N$5=4),$D$5&amp;" ","")&amp;IF(AND($M$6=4,$N$6=4),$D$6&amp;" ","")&amp;IF(AND($M$7=4,$N$7=4),$D$7&amp;" ","")&amp;IF(AND($M$8=4,$N$8=4),$D$8&amp;" ","")&amp;IF(AND($M$9=4,$N$9=4),$D$9&amp;" ","")&amp;IF(AND($M$10=4,$N$10=4),$D$10&amp;" ","")&amp;IF(AND($M$11=4,$N$11=4),$D$11&amp;" ","")&amp;IF(AND($M$12=4,$N$12=4),$D$12&amp;" ","")&amp;IF(AND($M$13=4,$N$13=4),$D$13&amp;" ","")&amp;IF(AND($M$14=4,$N$14=4),$D$14&amp;" ",""))</f>
        <v/>
      </c>
      <c r="X30" s="20" t="str">
        <f>TRIM(IF(AND($M$5=5,$N$5=4),$D$5&amp;" ","")&amp;IF(AND($M$6=5,$N$6=4),$D$6&amp;" ","")&amp;IF(AND($M$7=5,$N$7=4),$D$7&amp;" ","")&amp;IF(AND($M$8=5,$N$8=4),$D$8&amp;" ","")&amp;IF(AND($M$9=5,$N$9=4),$D$9&amp;" ","")&amp;IF(AND($M$10=5,$N$10=4),$D$10&amp;" ","")&amp;IF(AND($M$11=5,$N$11=4),$D$11&amp;" ","")&amp;IF(AND($M$12=5,$N$12=4),$D$12&amp;" ","")&amp;IF(AND($M$13=5,$N$13=4),$D$13&amp;" ","")&amp;IF(AND($M$14=5,$N$14=4),$D$14&amp;" ",""))</f>
        <v/>
      </c>
    </row>
    <row r="31" spans="1:31" ht="37.5" customHeight="1" x14ac:dyDescent="0.25">
      <c r="S31" s="19" t="str">
        <f>'Scales &amp; Matrix'!E7&amp;" ("&amp;3&amp;")"</f>
        <v>Possible (3)</v>
      </c>
      <c r="T31" s="20" t="str">
        <f>TRIM(IF(AND($M$5=1,$N$5=3),$D$5&amp;" ","")&amp;IF(AND($M$6=1,$N$6=3),$D$6&amp;" ","")&amp;IF(AND($M$7=1,$N$7=3),$D$7&amp;" ","")&amp;IF(AND($M$8=1,$N$8=3),$D$8&amp;" ","")&amp;IF(AND($M$9=1,$N$9=3),$D$9&amp;" ","")&amp;IF(AND($M$10=1,$N$10=3),$D$10&amp;" ","")&amp;IF(AND($M$11=1,$N$11=3),$D$11&amp;" ","")&amp;IF(AND($M$12=1,$N$12=3),$D$12&amp;" ","")&amp;IF(AND($M$13=1,$N$13=3),$D$13&amp;" ","")&amp;IF(AND($M$14=1,$N$14=3),$D$14&amp;" ",""))</f>
        <v/>
      </c>
      <c r="U31" s="20" t="str">
        <f>TRIM(IF(AND($M$5=2,$N$5=3),$D$5&amp;" ","")&amp;IF(AND($M$6=2,$N$6=3),$D$6&amp;" ","")&amp;IF(AND($M$7=2,$N$7=3),$D$7&amp;" ","")&amp;IF(AND($M$8=2,$N$8=3),$D$8&amp;" ","")&amp;IF(AND($M$9=2,$N$9=3),$D$9&amp;" ","")&amp;IF(AND($M$10=2,$N$10=3),$D$10&amp;" ","")&amp;IF(AND($M$11=2,$N$11=3),$D$11&amp;" ","")&amp;IF(AND($M$12=2,$N$12=3),$D$12&amp;" ","")&amp;IF(AND($M$13=2,$N$13=3),$D$13&amp;" ","")&amp;IF(AND($M$14=2,$N$14=3),$D$14&amp;" ",""))</f>
        <v/>
      </c>
      <c r="V31" s="20" t="str">
        <f>TRIM(IF(AND($M$5=3,$N$5=3),$D$5&amp;" ","")&amp;IF(AND($M$6=3,$N$6=3),$D$6&amp;" ","")&amp;IF(AND($M$7=3,$N$7=3),$D$7&amp;" ","")&amp;IF(AND($M$8=3,$N$8=3),$D$8&amp;" ","")&amp;IF(AND($M$9=3,$N$9=3),$D$9&amp;" ","")&amp;IF(AND($M$10=3,$N$10=3),$D$10&amp;" ","")&amp;IF(AND($M$11=3,$N$11=3),$D$11&amp;" ","")&amp;IF(AND($M$12=3,$N$12=3),$D$12&amp;" ","")&amp;IF(AND($M$13=3,$N$13=3),$D$13&amp;" ","")&amp;IF(AND($M$14=3,$N$14=3),$D$14&amp;" ",""))</f>
        <v>F02-C F38-B F18-C</v>
      </c>
      <c r="W31" s="20" t="str">
        <f>TRIM(IF(AND($M$5=4,$N$5=3),$D$5&amp;" ","")&amp;IF(AND($M$6=4,$N$6=3),$D$6&amp;" ","")&amp;IF(AND($M$7=4,$N$7=3),$D$7&amp;" ","")&amp;IF(AND($M$8=4,$N$8=3),$D$8&amp;" ","")&amp;IF(AND($M$9=4,$N$9=3),$D$9&amp;" ","")&amp;IF(AND($M$10=4,$N$10=3),$D$10&amp;" ","")&amp;IF(AND($M$11=4,$N$11=3),$D$11&amp;" ","")&amp;IF(AND($M$12=4,$N$12=3),$D$12&amp;" ","")&amp;IF(AND($M$13=4,$N$13=3),$D$13&amp;" ","")&amp;IF(AND($M$14=4,$N$14=3),$D$14&amp;" ",""))</f>
        <v>F01-A F03-C</v>
      </c>
      <c r="X31" s="20" t="str">
        <f>TRIM(IF(AND($M$5=5,$N$5=3),$D$5&amp;" ","")&amp;IF(AND($M$6=5,$N$6=3),$D$6&amp;" ","")&amp;IF(AND($M$7=5,$N$7=3),$D$7&amp;" ","")&amp;IF(AND($M$8=5,$N$8=3),$D$8&amp;" ","")&amp;IF(AND($M$9=5,$N$9=3),$D$9&amp;" ","")&amp;IF(AND($M$10=5,$N$10=3),$D$10&amp;" ","")&amp;IF(AND($M$11=5,$N$11=3),$D$11&amp;" ","")&amp;IF(AND($M$12=5,$N$12=3),$D$12&amp;" ","")&amp;IF(AND($M$13=5,$N$13=3),$D$13&amp;" ","")&amp;IF(AND($M$14=5,$N$14=3),$D$14&amp;" ",""))</f>
        <v/>
      </c>
    </row>
    <row r="32" spans="1:31" ht="37.5" customHeight="1" x14ac:dyDescent="0.25">
      <c r="S32" s="19" t="str">
        <f>'Scales &amp; Matrix'!E6&amp;" ("&amp;2&amp;")"</f>
        <v>Unlikely (2)</v>
      </c>
      <c r="T32" s="20" t="str">
        <f>TRIM(IF(AND($M$5=1,$N$5=2),$D$5&amp;" ","")&amp;IF(AND($M$6=1,$N$6=2),$D$6&amp;" ","")&amp;IF(AND($M$7=1,$N$7=2),$D$7&amp;" ","")&amp;IF(AND($M$8=1,$N$8=2),$D$8&amp;" ","")&amp;IF(AND($M$9=1,$N$9=2),$D$9&amp;" ","")&amp;IF(AND($M$10=1,$N$10=2),$D$10&amp;" ","")&amp;IF(AND($M$11=1,$N$11=2),$D$11&amp;" ","")&amp;IF(AND($M$12=1,$N$12=2),$D$12&amp;" ","")&amp;IF(AND($M$13=1,$N$13=2),$D$13&amp;" ","")&amp;IF(AND($M$14=1,$N$14=2),$D$14&amp;" ",""))</f>
        <v/>
      </c>
      <c r="U32" s="20" t="str">
        <f>TRIM(IF(AND($M$5=2,$N$5=2),$D$5&amp;" ","")&amp;IF(AND($M$6=2,$N$6=2),$D$6&amp;" ","")&amp;IF(AND($M$7=2,$N$7=2),$D$7&amp;" ","")&amp;IF(AND($M$8=2,$N$8=2),$D$8&amp;" ","")&amp;IF(AND($M$9=2,$N$9=2),$D$9&amp;" ","")&amp;IF(AND($M$10=2,$N$10=2),$D$10&amp;" ","")&amp;IF(AND($M$11=2,$N$11=2),$D$11&amp;" ","")&amp;IF(AND($M$12=2,$N$12=2),$D$12&amp;" ","")&amp;IF(AND($M$13=2,$N$13=2),$D$13&amp;" ","")&amp;IF(AND($M$14=2,$N$14=2),$D$14&amp;" ",""))</f>
        <v/>
      </c>
      <c r="V32" s="20" t="str">
        <f>TRIM(IF(AND($M$5=3,$N$5=2),$D$5&amp;" ","")&amp;IF(AND($M$6=3,$N$6=2),$D$6&amp;" ","")&amp;IF(AND($M$7=3,$N$7=2),$D$7&amp;" ","")&amp;IF(AND($M$8=3,$N$8=2),$D$8&amp;" ","")&amp;IF(AND($M$9=3,$N$9=2),$D$9&amp;" ","")&amp;IF(AND($M$10=3,$N$10=2),$D$10&amp;" ","")&amp;IF(AND($M$11=3,$N$11=2),$D$11&amp;" ","")&amp;IF(AND($M$12=3,$N$12=2),$D$12&amp;" ","")&amp;IF(AND($M$13=3,$N$13=2),$D$13&amp;" ","")&amp;IF(AND($M$14=3,$N$14=2),$D$14&amp;" ",""))</f>
        <v/>
      </c>
      <c r="W32" s="20" t="str">
        <f>TRIM(IF(AND($M$5=4,$N$5=2),$D$5&amp;" ","")&amp;IF(AND($M$6=4,$N$6=2),$D$6&amp;" ","")&amp;IF(AND($M$7=4,$N$7=2),$D$7&amp;" ","")&amp;IF(AND($M$8=4,$N$8=2),$D$8&amp;" ","")&amp;IF(AND($M$9=4,$N$9=2),$D$9&amp;" ","")&amp;IF(AND($M$10=4,$N$10=2),$D$10&amp;" ","")&amp;IF(AND($M$11=4,$N$11=2),$D$11&amp;" ","")&amp;IF(AND($M$12=4,$N$12=2),$D$12&amp;" ","")&amp;IF(AND($M$13=4,$N$13=2),$D$13&amp;" ","")&amp;IF(AND($M$14=4,$N$14=2),$D$14&amp;" ",""))</f>
        <v/>
      </c>
      <c r="X32" s="20" t="str">
        <f>TRIM(IF(AND($M$5=5,$N$5=2),$D$5&amp;" ","")&amp;IF(AND($M$6=5,$N$6=2),$D$6&amp;" ","")&amp;IF(AND($M$7=5,$N$7=2),$D$7&amp;" ","")&amp;IF(AND($M$8=5,$N$8=2),$D$8&amp;" ","")&amp;IF(AND($M$9=5,$N$9=2),$D$9&amp;" ","")&amp;IF(AND($M$10=5,$N$10=2),$D$10&amp;" ","")&amp;IF(AND($M$11=5,$N$11=2),$D$11&amp;" ","")&amp;IF(AND($M$12=5,$N$12=2),$D$12&amp;" ","")&amp;IF(AND($M$13=5,$N$13=2),$D$13&amp;" ","")&amp;IF(AND($M$14=5,$N$14=2),$D$14&amp;" ",""))</f>
        <v>F09-A F24-B F28-C F31-B F28-E</v>
      </c>
    </row>
    <row r="33" spans="19:24" ht="37.5" customHeight="1" x14ac:dyDescent="0.25">
      <c r="S33" s="19" t="str">
        <f>'Scales &amp; Matrix'!E5&amp;" ("&amp;1&amp;")"</f>
        <v>Rare (1)</v>
      </c>
      <c r="T33" s="20" t="str">
        <f>TRIM(IF(AND($M$5=1,$N$5=1),$D$5&amp;" ","")&amp;IF(AND($M$6=1,$N$6=1),$D$6&amp;" ","")&amp;IF(AND($M$7=1,$N$7=1),$D$7&amp;" ","")&amp;IF(AND($M$8=1,$N$8=1),$D$8&amp;" ","")&amp;IF(AND($M$9=1,$N$9=1),$D$9&amp;" ","")&amp;IF(AND($M$10=1,$N$10=1),$D$10&amp;" ","")&amp;IF(AND($M$11=1,$N$11=1),$D$11&amp;" ","")&amp;IF(AND($M$12=1,$N$12=1),$D$12&amp;" ","")&amp;IF(AND($M$13=1,$N$13=1),$D$13&amp;" ","")&amp;IF(AND($M$14=1,$N$14=1),$D$14&amp;" ",""))</f>
        <v/>
      </c>
      <c r="U33" s="20" t="str">
        <f>TRIM(IF(AND($M$5=2,$N$5=1),$D$5&amp;" ","")&amp;IF(AND($M$6=2,$N$6=1),$D$6&amp;" ","")&amp;IF(AND($M$7=2,$N$7=1),$D$7&amp;" ","")&amp;IF(AND($M$8=2,$N$8=1),$D$8&amp;" ","")&amp;IF(AND($M$9=2,$N$9=1),$D$9&amp;" ","")&amp;IF(AND($M$10=2,$N$10=1),$D$10&amp;" ","")&amp;IF(AND($M$11=2,$N$11=1),$D$11&amp;" ","")&amp;IF(AND($M$12=2,$N$12=1),$D$12&amp;" ","")&amp;IF(AND($M$13=2,$N$13=1),$D$13&amp;" ","")&amp;IF(AND($M$14=2,$N$14=1),$D$14&amp;" ",""))</f>
        <v/>
      </c>
      <c r="V33" s="20" t="str">
        <f>TRIM(IF(AND($M$5=3,$N$5=1),$D$5&amp;" ","")&amp;IF(AND($M$6=3,$N$6=1),$D$6&amp;" ","")&amp;IF(AND($M$7=3,$N$7=1),$D$7&amp;" ","")&amp;IF(AND($M$8=3,$N$8=1),$D$8&amp;" ","")&amp;IF(AND($M$9=3,$N$9=1),$D$9&amp;" ","")&amp;IF(AND($M$10=3,$N$10=1),$D$10&amp;" ","")&amp;IF(AND($M$11=3,$N$11=1),$D$11&amp;" ","")&amp;IF(AND($M$12=3,$N$12=1),$D$12&amp;" ","")&amp;IF(AND($M$13=3,$N$13=1),$D$13&amp;" ","")&amp;IF(AND($M$14=3,$N$14=1),$D$14&amp;" ",""))</f>
        <v/>
      </c>
      <c r="W33" s="20" t="str">
        <f>TRIM(IF(AND($M$5=4,$N$5=1),$D$5&amp;" ","")&amp;IF(AND($M$6=4,$N$6=1),$D$6&amp;" ","")&amp;IF(AND($M$7=4,$N$7=1),$D$7&amp;" ","")&amp;IF(AND($M$8=4,$N$8=1),$D$8&amp;" ","")&amp;IF(AND($M$9=4,$N$9=1),$D$9&amp;" ","")&amp;IF(AND($M$10=4,$N$10=1),$D$10&amp;" ","")&amp;IF(AND($M$11=4,$N$11=1),$D$11&amp;" ","")&amp;IF(AND($M$12=4,$N$12=1),$D$12&amp;" ","")&amp;IF(AND($M$13=4,$N$13=1),$D$13&amp;" ","")&amp;IF(AND($M$14=4,$N$14=1),$D$14&amp;" ",""))</f>
        <v/>
      </c>
      <c r="X33" s="20" t="str">
        <f>TRIM(IF(AND($M$5=5,$N$5=1),$D$5&amp;" ","")&amp;IF(AND($M$6=5,$N$6=1),$D$6&amp;" ","")&amp;IF(AND($M$7=5,$N$7=1),$D$7&amp;" ","")&amp;IF(AND($M$8=5,$N$8=1),$D$8&amp;" ","")&amp;IF(AND($M$9=5,$N$9=1),$D$9&amp;" ","")&amp;IF(AND($M$10=5,$N$10=1),$D$10&amp;" ","")&amp;IF(AND($M$11=5,$N$11=1),$D$11&amp;" ","")&amp;IF(AND($M$12=5,$N$12=1),$D$12&amp;" ","")&amp;IF(AND($M$13=5,$N$13=1),$D$13&amp;" ","")&amp;IF(AND($M$14=5,$N$14=1),$D$14&amp;" ",""))</f>
        <v/>
      </c>
    </row>
    <row r="35" spans="19:24" x14ac:dyDescent="0.25">
      <c r="S35" s="3" t="s">
        <v>1318</v>
      </c>
    </row>
  </sheetData>
  <conditionalFormatting sqref="J5:K14">
    <cfRule type="expression" dxfId="541" priority="2">
      <formula>$K5="Critical"</formula>
    </cfRule>
    <cfRule type="expression" dxfId="540" priority="3">
      <formula>$K5="High"</formula>
    </cfRule>
    <cfRule type="expression" dxfId="539" priority="4">
      <formula>$K5="Moderate"</formula>
    </cfRule>
    <cfRule type="expression" dxfId="538" priority="5">
      <formula>$K5="Low"</formula>
    </cfRule>
    <cfRule type="expression" dxfId="537" priority="6">
      <formula>$K5="Very Low"</formula>
    </cfRule>
  </conditionalFormatting>
  <conditionalFormatting sqref="O5:P14">
    <cfRule type="expression" dxfId="536" priority="7">
      <formula>$P5="Critical"</formula>
    </cfRule>
    <cfRule type="expression" dxfId="535" priority="8">
      <formula>$P5="High"</formula>
    </cfRule>
    <cfRule type="expression" dxfId="534" priority="9">
      <formula>$P5="Moderate"</formula>
    </cfRule>
    <cfRule type="expression" dxfId="533" priority="10">
      <formula>$P5="Low"</formula>
    </cfRule>
    <cfRule type="expression" dxfId="532" priority="11">
      <formula>$P5="Very Low"</formula>
    </cfRule>
  </conditionalFormatting>
  <conditionalFormatting sqref="T21">
    <cfRule type="expression" dxfId="531" priority="12">
      <formula>$AA$20="Critical"</formula>
    </cfRule>
    <cfRule type="expression" dxfId="530" priority="13">
      <formula>$AA$20="High"</formula>
    </cfRule>
    <cfRule type="expression" dxfId="529" priority="14">
      <formula>$AA$20="Moderate"</formula>
    </cfRule>
    <cfRule type="expression" dxfId="528" priority="15">
      <formula>$AA$20="Low"</formula>
    </cfRule>
    <cfRule type="expression" dxfId="527" priority="16">
      <formula>$AA$20="Very Low"</formula>
    </cfRule>
  </conditionalFormatting>
  <conditionalFormatting sqref="T22">
    <cfRule type="expression" dxfId="526" priority="41">
      <formula>$AA$21="Very Low"</formula>
    </cfRule>
    <cfRule type="expression" dxfId="525" priority="40">
      <formula>$AA$21="Low"</formula>
    </cfRule>
    <cfRule type="expression" dxfId="524" priority="37">
      <formula>$AA$21="Critical"</formula>
    </cfRule>
    <cfRule type="expression" dxfId="523" priority="38">
      <formula>$AA$21="High"</formula>
    </cfRule>
    <cfRule type="expression" dxfId="522" priority="39">
      <formula>$AA$21="Moderate"</formula>
    </cfRule>
  </conditionalFormatting>
  <conditionalFormatting sqref="T23">
    <cfRule type="expression" dxfId="521" priority="65">
      <formula>$AA$22="Low"</formula>
    </cfRule>
    <cfRule type="expression" dxfId="520" priority="64">
      <formula>$AA$22="Moderate"</formula>
    </cfRule>
    <cfRule type="expression" dxfId="519" priority="66">
      <formula>$AA$22="Very Low"</formula>
    </cfRule>
    <cfRule type="expression" dxfId="518" priority="63">
      <formula>$AA$22="High"</formula>
    </cfRule>
    <cfRule type="expression" dxfId="517" priority="62">
      <formula>$AA$22="Critical"</formula>
    </cfRule>
  </conditionalFormatting>
  <conditionalFormatting sqref="T24">
    <cfRule type="expression" dxfId="516" priority="91">
      <formula>$AA$23="Very Low"</formula>
    </cfRule>
    <cfRule type="expression" dxfId="515" priority="90">
      <formula>$AA$23="Low"</formula>
    </cfRule>
    <cfRule type="expression" dxfId="514" priority="89">
      <formula>$AA$23="Moderate"</formula>
    </cfRule>
    <cfRule type="expression" dxfId="513" priority="88">
      <formula>$AA$23="High"</formula>
    </cfRule>
    <cfRule type="expression" dxfId="512" priority="87">
      <formula>$AA$23="Critical"</formula>
    </cfRule>
  </conditionalFormatting>
  <conditionalFormatting sqref="T25">
    <cfRule type="expression" dxfId="511" priority="114">
      <formula>$AA$24="Moderate"</formula>
    </cfRule>
    <cfRule type="expression" dxfId="510" priority="115">
      <formula>$AA$24="Low"</formula>
    </cfRule>
    <cfRule type="expression" dxfId="509" priority="116">
      <formula>$AA$24="Very Low"</formula>
    </cfRule>
    <cfRule type="expression" dxfId="508" priority="112">
      <formula>$AA$24="Critical"</formula>
    </cfRule>
    <cfRule type="expression" dxfId="507" priority="113">
      <formula>$AA$24="High"</formula>
    </cfRule>
  </conditionalFormatting>
  <conditionalFormatting sqref="T29">
    <cfRule type="expression" dxfId="506" priority="137">
      <formula>$AA$20="Critical"</formula>
    </cfRule>
    <cfRule type="expression" dxfId="505" priority="138">
      <formula>$AA$20="High"</formula>
    </cfRule>
    <cfRule type="expression" dxfId="504" priority="139">
      <formula>$AA$20="Moderate"</formula>
    </cfRule>
    <cfRule type="expression" dxfId="503" priority="141">
      <formula>$AA$20="Very Low"</formula>
    </cfRule>
    <cfRule type="expression" dxfId="502" priority="140">
      <formula>$AA$20="Low"</formula>
    </cfRule>
  </conditionalFormatting>
  <conditionalFormatting sqref="T30">
    <cfRule type="expression" dxfId="501" priority="162">
      <formula>$AA$21="Critical"</formula>
    </cfRule>
    <cfRule type="expression" dxfId="500" priority="163">
      <formula>$AA$21="High"</formula>
    </cfRule>
    <cfRule type="expression" dxfId="499" priority="165">
      <formula>$AA$21="Low"</formula>
    </cfRule>
    <cfRule type="expression" dxfId="498" priority="166">
      <formula>$AA$21="Very Low"</formula>
    </cfRule>
    <cfRule type="expression" dxfId="497" priority="164">
      <formula>$AA$21="Moderate"</formula>
    </cfRule>
  </conditionalFormatting>
  <conditionalFormatting sqref="T31">
    <cfRule type="expression" dxfId="496" priority="189">
      <formula>$AA$22="Moderate"</formula>
    </cfRule>
    <cfRule type="expression" dxfId="495" priority="191">
      <formula>$AA$22="Very Low"</formula>
    </cfRule>
    <cfRule type="expression" dxfId="494" priority="190">
      <formula>$AA$22="Low"</formula>
    </cfRule>
    <cfRule type="expression" dxfId="493" priority="187">
      <formula>$AA$22="Critical"</formula>
    </cfRule>
    <cfRule type="expression" dxfId="492" priority="188">
      <formula>$AA$22="High"</formula>
    </cfRule>
  </conditionalFormatting>
  <conditionalFormatting sqref="T32">
    <cfRule type="expression" dxfId="491" priority="213">
      <formula>$AA$23="High"</formula>
    </cfRule>
    <cfRule type="expression" dxfId="490" priority="216">
      <formula>$AA$23="Very Low"</formula>
    </cfRule>
    <cfRule type="expression" dxfId="489" priority="215">
      <formula>$AA$23="Low"</formula>
    </cfRule>
    <cfRule type="expression" dxfId="488" priority="214">
      <formula>$AA$23="Moderate"</formula>
    </cfRule>
    <cfRule type="expression" dxfId="487" priority="212">
      <formula>$AA$23="Critical"</formula>
    </cfRule>
  </conditionalFormatting>
  <conditionalFormatting sqref="T33">
    <cfRule type="expression" dxfId="486" priority="237">
      <formula>$AA$24="Critical"</formula>
    </cfRule>
    <cfRule type="expression" dxfId="485" priority="238">
      <formula>$AA$24="High"</formula>
    </cfRule>
    <cfRule type="expression" dxfId="484" priority="241">
      <formula>$AA$24="Very Low"</formula>
    </cfRule>
    <cfRule type="expression" dxfId="483" priority="239">
      <formula>$AA$24="Moderate"</formula>
    </cfRule>
    <cfRule type="expression" dxfId="482" priority="240">
      <formula>$AA$24="Low"</formula>
    </cfRule>
  </conditionalFormatting>
  <conditionalFormatting sqref="U21">
    <cfRule type="expression" dxfId="481" priority="18">
      <formula>$AB$20="High"</formula>
    </cfRule>
    <cfRule type="expression" dxfId="480" priority="19">
      <formula>$AB$20="Moderate"</formula>
    </cfRule>
    <cfRule type="expression" dxfId="479" priority="20">
      <formula>$AB$20="Low"</formula>
    </cfRule>
    <cfRule type="expression" dxfId="478" priority="21">
      <formula>$AB$20="Very Low"</formula>
    </cfRule>
    <cfRule type="expression" dxfId="477" priority="17">
      <formula>$AB$20="Critical"</formula>
    </cfRule>
  </conditionalFormatting>
  <conditionalFormatting sqref="U22">
    <cfRule type="expression" dxfId="476" priority="46">
      <formula>$AB$21="Very Low"</formula>
    </cfRule>
    <cfRule type="expression" dxfId="475" priority="45">
      <formula>$AB$21="Low"</formula>
    </cfRule>
    <cfRule type="expression" dxfId="474" priority="44">
      <formula>$AB$21="Moderate"</formula>
    </cfRule>
    <cfRule type="expression" dxfId="473" priority="42">
      <formula>$AB$21="Critical"</formula>
    </cfRule>
    <cfRule type="expression" dxfId="472" priority="43">
      <formula>$AB$21="High"</formula>
    </cfRule>
  </conditionalFormatting>
  <conditionalFormatting sqref="U23">
    <cfRule type="expression" dxfId="471" priority="67">
      <formula>$AB$22="Critical"</formula>
    </cfRule>
    <cfRule type="expression" dxfId="470" priority="68">
      <formula>$AB$22="High"</formula>
    </cfRule>
    <cfRule type="expression" dxfId="469" priority="69">
      <formula>$AB$22="Moderate"</formula>
    </cfRule>
    <cfRule type="expression" dxfId="468" priority="70">
      <formula>$AB$22="Low"</formula>
    </cfRule>
    <cfRule type="expression" dxfId="467" priority="71">
      <formula>$AB$22="Very Low"</formula>
    </cfRule>
  </conditionalFormatting>
  <conditionalFormatting sqref="U24">
    <cfRule type="expression" dxfId="466" priority="94">
      <formula>$AB$23="Moderate"</formula>
    </cfRule>
    <cfRule type="expression" dxfId="465" priority="95">
      <formula>$AB$23="Low"</formula>
    </cfRule>
    <cfRule type="expression" dxfId="464" priority="96">
      <formula>$AB$23="Very Low"</formula>
    </cfRule>
    <cfRule type="expression" dxfId="463" priority="92">
      <formula>$AB$23="Critical"</formula>
    </cfRule>
    <cfRule type="expression" dxfId="462" priority="93">
      <formula>$AB$23="High"</formula>
    </cfRule>
  </conditionalFormatting>
  <conditionalFormatting sqref="U25">
    <cfRule type="expression" dxfId="461" priority="120">
      <formula>$AB$24="Low"</formula>
    </cfRule>
    <cfRule type="expression" dxfId="460" priority="119">
      <formula>$AB$24="Moderate"</formula>
    </cfRule>
    <cfRule type="expression" dxfId="459" priority="118">
      <formula>$AB$24="High"</formula>
    </cfRule>
    <cfRule type="expression" dxfId="458" priority="117">
      <formula>$AB$24="Critical"</formula>
    </cfRule>
    <cfRule type="expression" dxfId="457" priority="121">
      <formula>$AB$24="Very Low"</formula>
    </cfRule>
  </conditionalFormatting>
  <conditionalFormatting sqref="U29">
    <cfRule type="expression" dxfId="456" priority="144">
      <formula>$AB$20="Moderate"</formula>
    </cfRule>
    <cfRule type="expression" dxfId="455" priority="145">
      <formula>$AB$20="Low"</formula>
    </cfRule>
    <cfRule type="expression" dxfId="454" priority="146">
      <formula>$AB$20="Very Low"</formula>
    </cfRule>
    <cfRule type="expression" dxfId="453" priority="142">
      <formula>$AB$20="Critical"</formula>
    </cfRule>
    <cfRule type="expression" dxfId="452" priority="143">
      <formula>$AB$20="High"</formula>
    </cfRule>
  </conditionalFormatting>
  <conditionalFormatting sqref="U30">
    <cfRule type="expression" dxfId="451" priority="167">
      <formula>$AB$21="Critical"</formula>
    </cfRule>
    <cfRule type="expression" dxfId="450" priority="168">
      <formula>$AB$21="High"</formula>
    </cfRule>
    <cfRule type="expression" dxfId="449" priority="169">
      <formula>$AB$21="Moderate"</formula>
    </cfRule>
    <cfRule type="expression" dxfId="448" priority="171">
      <formula>$AB$21="Very Low"</formula>
    </cfRule>
    <cfRule type="expression" dxfId="447" priority="170">
      <formula>$AB$21="Low"</formula>
    </cfRule>
  </conditionalFormatting>
  <conditionalFormatting sqref="U31">
    <cfRule type="expression" dxfId="446" priority="192">
      <formula>$AB$22="Critical"</formula>
    </cfRule>
    <cfRule type="expression" dxfId="445" priority="194">
      <formula>$AB$22="Moderate"</formula>
    </cfRule>
    <cfRule type="expression" dxfId="444" priority="196">
      <formula>$AB$22="Very Low"</formula>
    </cfRule>
    <cfRule type="expression" dxfId="443" priority="195">
      <formula>$AB$22="Low"</formula>
    </cfRule>
    <cfRule type="expression" dxfId="442" priority="193">
      <formula>$AB$22="High"</formula>
    </cfRule>
  </conditionalFormatting>
  <conditionalFormatting sqref="U32">
    <cfRule type="expression" dxfId="441" priority="220">
      <formula>$AB$23="Low"</formula>
    </cfRule>
    <cfRule type="expression" dxfId="440" priority="221">
      <formula>$AB$23="Very Low"</formula>
    </cfRule>
    <cfRule type="expression" dxfId="439" priority="217">
      <formula>$AB$23="Critical"</formula>
    </cfRule>
    <cfRule type="expression" dxfId="438" priority="218">
      <formula>$AB$23="High"</formula>
    </cfRule>
    <cfRule type="expression" dxfId="437" priority="219">
      <formula>$AB$23="Moderate"</formula>
    </cfRule>
  </conditionalFormatting>
  <conditionalFormatting sqref="U33">
    <cfRule type="expression" dxfId="436" priority="245">
      <formula>$AB$24="Low"</formula>
    </cfRule>
    <cfRule type="expression" dxfId="435" priority="246">
      <formula>$AB$24="Very Low"</formula>
    </cfRule>
    <cfRule type="expression" dxfId="434" priority="244">
      <formula>$AB$24="Moderate"</formula>
    </cfRule>
    <cfRule type="expression" dxfId="433" priority="243">
      <formula>$AB$24="High"</formula>
    </cfRule>
    <cfRule type="expression" dxfId="432" priority="242">
      <formula>$AB$24="Critical"</formula>
    </cfRule>
  </conditionalFormatting>
  <conditionalFormatting sqref="V21">
    <cfRule type="expression" dxfId="431" priority="22">
      <formula>$AC$20="Critical"</formula>
    </cfRule>
    <cfRule type="expression" dxfId="430" priority="23">
      <formula>$AC$20="High"</formula>
    </cfRule>
    <cfRule type="expression" dxfId="429" priority="24">
      <formula>$AC$20="Moderate"</formula>
    </cfRule>
    <cfRule type="expression" dxfId="428" priority="25">
      <formula>$AC$20="Low"</formula>
    </cfRule>
    <cfRule type="expression" dxfId="427" priority="26">
      <formula>$AC$20="Very Low"</formula>
    </cfRule>
  </conditionalFormatting>
  <conditionalFormatting sqref="V22">
    <cfRule type="expression" dxfId="426" priority="50">
      <formula>$AC$21="Low"</formula>
    </cfRule>
    <cfRule type="expression" dxfId="425" priority="48">
      <formula>$AC$21="High"</formula>
    </cfRule>
    <cfRule type="expression" dxfId="424" priority="49">
      <formula>$AC$21="Moderate"</formula>
    </cfRule>
    <cfRule type="expression" dxfId="423" priority="51">
      <formula>$AC$21="Very Low"</formula>
    </cfRule>
    <cfRule type="expression" dxfId="422" priority="47">
      <formula>$AC$21="Critical"</formula>
    </cfRule>
  </conditionalFormatting>
  <conditionalFormatting sqref="V23">
    <cfRule type="expression" dxfId="421" priority="74">
      <formula>$AC$22="Moderate"</formula>
    </cfRule>
    <cfRule type="expression" dxfId="420" priority="75">
      <formula>$AC$22="Low"</formula>
    </cfRule>
    <cfRule type="expression" dxfId="419" priority="76">
      <formula>$AC$22="Very Low"</formula>
    </cfRule>
    <cfRule type="expression" dxfId="418" priority="73">
      <formula>$AC$22="High"</formula>
    </cfRule>
    <cfRule type="expression" dxfId="417" priority="72">
      <formula>$AC$22="Critical"</formula>
    </cfRule>
  </conditionalFormatting>
  <conditionalFormatting sqref="V24">
    <cfRule type="expression" dxfId="416" priority="100">
      <formula>$AC$23="Low"</formula>
    </cfRule>
    <cfRule type="expression" dxfId="415" priority="97">
      <formula>$AC$23="Critical"</formula>
    </cfRule>
    <cfRule type="expression" dxfId="414" priority="98">
      <formula>$AC$23="High"</formula>
    </cfRule>
    <cfRule type="expression" dxfId="413" priority="99">
      <formula>$AC$23="Moderate"</formula>
    </cfRule>
    <cfRule type="expression" dxfId="412" priority="101">
      <formula>$AC$23="Very Low"</formula>
    </cfRule>
  </conditionalFormatting>
  <conditionalFormatting sqref="V25">
    <cfRule type="expression" dxfId="411" priority="122">
      <formula>$AC$24="Critical"</formula>
    </cfRule>
    <cfRule type="expression" dxfId="410" priority="123">
      <formula>$AC$24="High"</formula>
    </cfRule>
    <cfRule type="expression" dxfId="409" priority="126">
      <formula>$AC$24="Very Low"</formula>
    </cfRule>
    <cfRule type="expression" dxfId="408" priority="125">
      <formula>$AC$24="Low"</formula>
    </cfRule>
    <cfRule type="expression" dxfId="407" priority="124">
      <formula>$AC$24="Moderate"</formula>
    </cfRule>
  </conditionalFormatting>
  <conditionalFormatting sqref="V29">
    <cfRule type="expression" dxfId="406" priority="147">
      <formula>$AC$20="Critical"</formula>
    </cfRule>
    <cfRule type="expression" dxfId="405" priority="148">
      <formula>$AC$20="High"</formula>
    </cfRule>
    <cfRule type="expression" dxfId="404" priority="151">
      <formula>$AC$20="Very Low"</formula>
    </cfRule>
    <cfRule type="expression" dxfId="403" priority="149">
      <formula>$AC$20="Moderate"</formula>
    </cfRule>
    <cfRule type="expression" dxfId="402" priority="150">
      <formula>$AC$20="Low"</formula>
    </cfRule>
  </conditionalFormatting>
  <conditionalFormatting sqref="V30">
    <cfRule type="expression" dxfId="401" priority="176">
      <formula>$AC$21="Very Low"</formula>
    </cfRule>
    <cfRule type="expression" dxfId="400" priority="175">
      <formula>$AC$21="Low"</formula>
    </cfRule>
    <cfRule type="expression" dxfId="399" priority="174">
      <formula>$AC$21="Moderate"</formula>
    </cfRule>
    <cfRule type="expression" dxfId="398" priority="173">
      <formula>$AC$21="High"</formula>
    </cfRule>
    <cfRule type="expression" dxfId="397" priority="172">
      <formula>$AC$21="Critical"</formula>
    </cfRule>
  </conditionalFormatting>
  <conditionalFormatting sqref="V31">
    <cfRule type="expression" dxfId="396" priority="198">
      <formula>$AC$22="High"</formula>
    </cfRule>
    <cfRule type="expression" dxfId="395" priority="199">
      <formula>$AC$22="Moderate"</formula>
    </cfRule>
    <cfRule type="expression" dxfId="394" priority="197">
      <formula>$AC$22="Critical"</formula>
    </cfRule>
    <cfRule type="expression" dxfId="393" priority="201">
      <formula>$AC$22="Very Low"</formula>
    </cfRule>
    <cfRule type="expression" dxfId="392" priority="200">
      <formula>$AC$22="Low"</formula>
    </cfRule>
  </conditionalFormatting>
  <conditionalFormatting sqref="V32">
    <cfRule type="expression" dxfId="391" priority="224">
      <formula>$AC$23="Moderate"</formula>
    </cfRule>
    <cfRule type="expression" dxfId="390" priority="225">
      <formula>$AC$23="Low"</formula>
    </cfRule>
    <cfRule type="expression" dxfId="389" priority="226">
      <formula>$AC$23="Very Low"</formula>
    </cfRule>
    <cfRule type="expression" dxfId="388" priority="223">
      <formula>$AC$23="High"</formula>
    </cfRule>
    <cfRule type="expression" dxfId="387" priority="222">
      <formula>$AC$23="Critical"</formula>
    </cfRule>
  </conditionalFormatting>
  <conditionalFormatting sqref="V33">
    <cfRule type="expression" dxfId="386" priority="251">
      <formula>$AC$24="Very Low"</formula>
    </cfRule>
    <cfRule type="expression" dxfId="385" priority="250">
      <formula>$AC$24="Low"</formula>
    </cfRule>
    <cfRule type="expression" dxfId="384" priority="249">
      <formula>$AC$24="Moderate"</formula>
    </cfRule>
    <cfRule type="expression" dxfId="383" priority="248">
      <formula>$AC$24="High"</formula>
    </cfRule>
    <cfRule type="expression" dxfId="382" priority="247">
      <formula>$AC$24="Critical"</formula>
    </cfRule>
  </conditionalFormatting>
  <conditionalFormatting sqref="W21">
    <cfRule type="expression" dxfId="381" priority="27">
      <formula>$AD$20="Critical"</formula>
    </cfRule>
    <cfRule type="expression" dxfId="380" priority="31">
      <formula>$AD$20="Very Low"</formula>
    </cfRule>
    <cfRule type="expression" dxfId="379" priority="29">
      <formula>$AD$20="Moderate"</formula>
    </cfRule>
    <cfRule type="expression" dxfId="378" priority="28">
      <formula>$AD$20="High"</formula>
    </cfRule>
    <cfRule type="expression" dxfId="377" priority="30">
      <formula>$AD$20="Low"</formula>
    </cfRule>
  </conditionalFormatting>
  <conditionalFormatting sqref="W22">
    <cfRule type="expression" dxfId="376" priority="52">
      <formula>$AD$21="Critical"</formula>
    </cfRule>
    <cfRule type="expression" dxfId="375" priority="55">
      <formula>$AD$21="Low"</formula>
    </cfRule>
    <cfRule type="expression" dxfId="374" priority="56">
      <formula>$AD$21="Very Low"</formula>
    </cfRule>
    <cfRule type="expression" dxfId="373" priority="54">
      <formula>$AD$21="Moderate"</formula>
    </cfRule>
    <cfRule type="expression" dxfId="372" priority="53">
      <formula>$AD$21="High"</formula>
    </cfRule>
  </conditionalFormatting>
  <conditionalFormatting sqref="W23">
    <cfRule type="expression" dxfId="371" priority="80">
      <formula>$AD$22="Low"</formula>
    </cfRule>
    <cfRule type="expression" dxfId="370" priority="79">
      <formula>$AD$22="Moderate"</formula>
    </cfRule>
    <cfRule type="expression" dxfId="369" priority="78">
      <formula>$AD$22="High"</formula>
    </cfRule>
    <cfRule type="expression" dxfId="368" priority="77">
      <formula>$AD$22="Critical"</formula>
    </cfRule>
    <cfRule type="expression" dxfId="367" priority="81">
      <formula>$AD$22="Very Low"</formula>
    </cfRule>
  </conditionalFormatting>
  <conditionalFormatting sqref="W24">
    <cfRule type="expression" dxfId="366" priority="105">
      <formula>$AD$23="Low"</formula>
    </cfRule>
    <cfRule type="expression" dxfId="365" priority="106">
      <formula>$AD$23="Very Low"</formula>
    </cfRule>
    <cfRule type="expression" dxfId="364" priority="102">
      <formula>$AD$23="Critical"</formula>
    </cfRule>
    <cfRule type="expression" dxfId="363" priority="104">
      <formula>$AD$23="Moderate"</formula>
    </cfRule>
    <cfRule type="expression" dxfId="362" priority="103">
      <formula>$AD$23="High"</formula>
    </cfRule>
  </conditionalFormatting>
  <conditionalFormatting sqref="W25">
    <cfRule type="expression" dxfId="361" priority="129">
      <formula>$AD$24="Moderate"</formula>
    </cfRule>
    <cfRule type="expression" dxfId="360" priority="127">
      <formula>$AD$24="Critical"</formula>
    </cfRule>
    <cfRule type="expression" dxfId="359" priority="128">
      <formula>$AD$24="High"</formula>
    </cfRule>
    <cfRule type="expression" dxfId="358" priority="130">
      <formula>$AD$24="Low"</formula>
    </cfRule>
    <cfRule type="expression" dxfId="357" priority="131">
      <formula>$AD$24="Very Low"</formula>
    </cfRule>
  </conditionalFormatting>
  <conditionalFormatting sqref="W29">
    <cfRule type="expression" dxfId="356" priority="156">
      <formula>$AD$20="Very Low"</formula>
    </cfRule>
    <cfRule type="expression" dxfId="355" priority="154">
      <formula>$AD$20="Moderate"</formula>
    </cfRule>
    <cfRule type="expression" dxfId="354" priority="153">
      <formula>$AD$20="High"</formula>
    </cfRule>
    <cfRule type="expression" dxfId="353" priority="152">
      <formula>$AD$20="Critical"</formula>
    </cfRule>
    <cfRule type="expression" dxfId="352" priority="155">
      <formula>$AD$20="Low"</formula>
    </cfRule>
  </conditionalFormatting>
  <conditionalFormatting sqref="W30">
    <cfRule type="expression" dxfId="351" priority="181">
      <formula>$AD$21="Very Low"</formula>
    </cfRule>
    <cfRule type="expression" dxfId="350" priority="177">
      <formula>$AD$21="Critical"</formula>
    </cfRule>
    <cfRule type="expression" dxfId="349" priority="178">
      <formula>$AD$21="High"</formula>
    </cfRule>
    <cfRule type="expression" dxfId="348" priority="179">
      <formula>$AD$21="Moderate"</formula>
    </cfRule>
    <cfRule type="expression" dxfId="347" priority="180">
      <formula>$AD$21="Low"</formula>
    </cfRule>
  </conditionalFormatting>
  <conditionalFormatting sqref="W31">
    <cfRule type="expression" dxfId="346" priority="205">
      <formula>$AD$22="Low"</formula>
    </cfRule>
    <cfRule type="expression" dxfId="345" priority="202">
      <formula>$AD$22="Critical"</formula>
    </cfRule>
    <cfRule type="expression" dxfId="344" priority="203">
      <formula>$AD$22="High"</formula>
    </cfRule>
    <cfRule type="expression" dxfId="343" priority="204">
      <formula>$AD$22="Moderate"</formula>
    </cfRule>
    <cfRule type="expression" dxfId="342" priority="206">
      <formula>$AD$22="Very Low"</formula>
    </cfRule>
  </conditionalFormatting>
  <conditionalFormatting sqref="W32">
    <cfRule type="expression" dxfId="341" priority="229">
      <formula>$AD$23="Moderate"</formula>
    </cfRule>
    <cfRule type="expression" dxfId="340" priority="231">
      <formula>$AD$23="Very Low"</formula>
    </cfRule>
    <cfRule type="expression" dxfId="339" priority="230">
      <formula>$AD$23="Low"</formula>
    </cfRule>
    <cfRule type="expression" dxfId="338" priority="227">
      <formula>$AD$23="Critical"</formula>
    </cfRule>
    <cfRule type="expression" dxfId="337" priority="228">
      <formula>$AD$23="High"</formula>
    </cfRule>
  </conditionalFormatting>
  <conditionalFormatting sqref="W33">
    <cfRule type="expression" dxfId="336" priority="255">
      <formula>$AD$24="Low"</formula>
    </cfRule>
    <cfRule type="expression" dxfId="335" priority="254">
      <formula>$AD$24="Moderate"</formula>
    </cfRule>
    <cfRule type="expression" dxfId="334" priority="252">
      <formula>$AD$24="Critical"</formula>
    </cfRule>
    <cfRule type="expression" dxfId="333" priority="253">
      <formula>$AD$24="High"</formula>
    </cfRule>
    <cfRule type="expression" dxfId="332" priority="256">
      <formula>$AD$24="Very Low"</formula>
    </cfRule>
  </conditionalFormatting>
  <conditionalFormatting sqref="X21">
    <cfRule type="expression" dxfId="331" priority="33">
      <formula>$AE$20="High"</formula>
    </cfRule>
    <cfRule type="expression" dxfId="330" priority="32">
      <formula>$AE$20="Critical"</formula>
    </cfRule>
    <cfRule type="expression" dxfId="329" priority="34">
      <formula>$AE$20="Moderate"</formula>
    </cfRule>
    <cfRule type="expression" dxfId="328" priority="36">
      <formula>$AE$20="Very Low"</formula>
    </cfRule>
    <cfRule type="expression" dxfId="327" priority="35">
      <formula>$AE$20="Low"</formula>
    </cfRule>
  </conditionalFormatting>
  <conditionalFormatting sqref="X22">
    <cfRule type="expression" dxfId="326" priority="61">
      <formula>$AE$21="Very Low"</formula>
    </cfRule>
    <cfRule type="expression" dxfId="325" priority="60">
      <formula>$AE$21="Low"</formula>
    </cfRule>
    <cfRule type="expression" dxfId="324" priority="59">
      <formula>$AE$21="Moderate"</formula>
    </cfRule>
    <cfRule type="expression" dxfId="323" priority="58">
      <formula>$AE$21="High"</formula>
    </cfRule>
    <cfRule type="expression" dxfId="322" priority="57">
      <formula>$AE$21="Critical"</formula>
    </cfRule>
  </conditionalFormatting>
  <conditionalFormatting sqref="X23">
    <cfRule type="expression" dxfId="321" priority="82">
      <formula>$AE$22="Critical"</formula>
    </cfRule>
    <cfRule type="expression" dxfId="320" priority="83">
      <formula>$AE$22="High"</formula>
    </cfRule>
    <cfRule type="expression" dxfId="319" priority="84">
      <formula>$AE$22="Moderate"</formula>
    </cfRule>
    <cfRule type="expression" dxfId="318" priority="85">
      <formula>$AE$22="Low"</formula>
    </cfRule>
    <cfRule type="expression" dxfId="317" priority="86">
      <formula>$AE$22="Very Low"</formula>
    </cfRule>
  </conditionalFormatting>
  <conditionalFormatting sqref="X24">
    <cfRule type="expression" dxfId="316" priority="108">
      <formula>$AE$23="High"</formula>
    </cfRule>
    <cfRule type="expression" dxfId="315" priority="111">
      <formula>$AE$23="Very Low"</formula>
    </cfRule>
    <cfRule type="expression" dxfId="314" priority="110">
      <formula>$AE$23="Low"</formula>
    </cfRule>
    <cfRule type="expression" dxfId="313" priority="109">
      <formula>$AE$23="Moderate"</formula>
    </cfRule>
    <cfRule type="expression" dxfId="312" priority="107">
      <formula>$AE$23="Critical"</formula>
    </cfRule>
  </conditionalFormatting>
  <conditionalFormatting sqref="X25">
    <cfRule type="expression" dxfId="311" priority="133">
      <formula>$AE$24="High"</formula>
    </cfRule>
    <cfRule type="expression" dxfId="310" priority="132">
      <formula>$AE$24="Critical"</formula>
    </cfRule>
    <cfRule type="expression" dxfId="309" priority="134">
      <formula>$AE$24="Moderate"</formula>
    </cfRule>
    <cfRule type="expression" dxfId="308" priority="135">
      <formula>$AE$24="Low"</formula>
    </cfRule>
    <cfRule type="expression" dxfId="307" priority="136">
      <formula>$AE$24="Very Low"</formula>
    </cfRule>
  </conditionalFormatting>
  <conditionalFormatting sqref="X29">
    <cfRule type="expression" dxfId="306" priority="158">
      <formula>$AE$20="High"</formula>
    </cfRule>
    <cfRule type="expression" dxfId="305" priority="157">
      <formula>$AE$20="Critical"</formula>
    </cfRule>
    <cfRule type="expression" dxfId="304" priority="160">
      <formula>$AE$20="Low"</formula>
    </cfRule>
    <cfRule type="expression" dxfId="303" priority="161">
      <formula>$AE$20="Very Low"</formula>
    </cfRule>
    <cfRule type="expression" dxfId="302" priority="159">
      <formula>$AE$20="Moderate"</formula>
    </cfRule>
  </conditionalFormatting>
  <conditionalFormatting sqref="X30">
    <cfRule type="expression" dxfId="301" priority="184">
      <formula>$AE$21="Moderate"</formula>
    </cfRule>
    <cfRule type="expression" dxfId="300" priority="186">
      <formula>$AE$21="Very Low"</formula>
    </cfRule>
    <cfRule type="expression" dxfId="299" priority="182">
      <formula>$AE$21="Critical"</formula>
    </cfRule>
    <cfRule type="expression" dxfId="298" priority="183">
      <formula>$AE$21="High"</formula>
    </cfRule>
    <cfRule type="expression" dxfId="297" priority="185">
      <formula>$AE$21="Low"</formula>
    </cfRule>
  </conditionalFormatting>
  <conditionalFormatting sqref="X31">
    <cfRule type="expression" dxfId="296" priority="207">
      <formula>$AE$22="Critical"</formula>
    </cfRule>
    <cfRule type="expression" dxfId="295" priority="209">
      <formula>$AE$22="Moderate"</formula>
    </cfRule>
    <cfRule type="expression" dxfId="294" priority="208">
      <formula>$AE$22="High"</formula>
    </cfRule>
    <cfRule type="expression" dxfId="293" priority="211">
      <formula>$AE$22="Very Low"</formula>
    </cfRule>
    <cfRule type="expression" dxfId="292" priority="210">
      <formula>$AE$22="Low"</formula>
    </cfRule>
  </conditionalFormatting>
  <conditionalFormatting sqref="X32">
    <cfRule type="expression" dxfId="291" priority="234">
      <formula>$AE$23="Moderate"</formula>
    </cfRule>
    <cfRule type="expression" dxfId="290" priority="236">
      <formula>$AE$23="Very Low"</formula>
    </cfRule>
    <cfRule type="expression" dxfId="289" priority="232">
      <formula>$AE$23="Critical"</formula>
    </cfRule>
    <cfRule type="expression" dxfId="288" priority="233">
      <formula>$AE$23="High"</formula>
    </cfRule>
    <cfRule type="expression" dxfId="287" priority="235">
      <formula>$AE$23="Low"</formula>
    </cfRule>
  </conditionalFormatting>
  <conditionalFormatting sqref="X33">
    <cfRule type="expression" dxfId="286" priority="257">
      <formula>$AE$24="Critical"</formula>
    </cfRule>
    <cfRule type="expression" dxfId="285" priority="258">
      <formula>$AE$24="High"</formula>
    </cfRule>
    <cfRule type="expression" dxfId="284" priority="259">
      <formula>$AE$24="Moderate"</formula>
    </cfRule>
    <cfRule type="expression" dxfId="283" priority="260">
      <formula>$AE$24="Low"</formula>
    </cfRule>
    <cfRule type="expression" dxfId="282" priority="261">
      <formula>$AE$24="Very Low"</formula>
    </cfRule>
  </conditionalFormatting>
  <pageMargins left="0.75" right="0.75" top="1" bottom="1" header="0.511811023622047" footer="0.511811023622047"/>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89"/>
  <sheetViews>
    <sheetView topLeftCell="A30" zoomScale="90" zoomScaleNormal="90" workbookViewId="0"/>
  </sheetViews>
  <sheetFormatPr defaultColWidth="8.7109375" defaultRowHeight="15" x14ac:dyDescent="0.25"/>
  <cols>
    <col min="1" max="1" width="7" customWidth="1"/>
    <col min="2" max="2" width="62" customWidth="1"/>
    <col min="3" max="9" width="14" customWidth="1"/>
  </cols>
  <sheetData>
    <row r="1" spans="1:1" ht="18" x14ac:dyDescent="0.25">
      <c r="A1" s="2" t="s">
        <v>1321</v>
      </c>
    </row>
    <row r="2" spans="1:1" x14ac:dyDescent="0.25">
      <c r="A2" s="3" t="s">
        <v>1322</v>
      </c>
    </row>
    <row r="52" spans="1:9" ht="15.75" x14ac:dyDescent="0.25">
      <c r="A52" s="16" t="s">
        <v>1323</v>
      </c>
    </row>
    <row r="53" spans="1:9" x14ac:dyDescent="0.25">
      <c r="A53" s="21" t="s">
        <v>1324</v>
      </c>
    </row>
    <row r="54" spans="1:9" ht="31.5" customHeight="1" x14ac:dyDescent="0.25">
      <c r="A54" s="5" t="s">
        <v>1325</v>
      </c>
      <c r="B54" s="5" t="s">
        <v>1326</v>
      </c>
      <c r="C54" s="5" t="s">
        <v>1327</v>
      </c>
      <c r="D54" s="5" t="s">
        <v>1328</v>
      </c>
      <c r="E54" s="5" t="s">
        <v>1329</v>
      </c>
      <c r="F54" s="5" t="s">
        <v>1330</v>
      </c>
      <c r="G54" s="5" t="s">
        <v>1331</v>
      </c>
      <c r="H54" s="5" t="s">
        <v>1332</v>
      </c>
      <c r="I54" s="5" t="s">
        <v>1333</v>
      </c>
    </row>
    <row r="55" spans="1:9" ht="25.5" x14ac:dyDescent="0.25">
      <c r="A55" s="22" t="s">
        <v>53</v>
      </c>
      <c r="B55" s="23" t="s">
        <v>50</v>
      </c>
      <c r="C55" s="24">
        <f>COUNTIFS('Summary by Assessment'!$E$5:$E$101,$B55)</f>
        <v>27</v>
      </c>
      <c r="D55" s="24">
        <f>COUNTIFS('Risk Register'!$F$5:$F$297,$B55)</f>
        <v>101</v>
      </c>
      <c r="E55" s="25">
        <f>IFERROR(AVERAGEIFS('Risk Register'!$O$5:$O$297,'Risk Register'!$F$5:$F$297,$B55),"-")</f>
        <v>10.514851485148515</v>
      </c>
      <c r="F55" s="25">
        <f>IFERROR(AVERAGEIFS('Risk Register'!$T$5:$T$297,'Risk Register'!$F$5:$F$297,$B55),"-")</f>
        <v>6.3366336633663369</v>
      </c>
      <c r="G55" s="25">
        <f>IFERROR(AVERAGEIFS('Risk Register'!$V$5:$V$297,'Risk Register'!$F$5:$F$297,$B55),"-")</f>
        <v>4.1782178217821784</v>
      </c>
      <c r="H55" s="24">
        <f>IF(D55=0,"-",_xlfn.MAXIFS('Risk Register'!$T$5:$T$297,'Risk Register'!$F$5:$F$297,$B55))</f>
        <v>12</v>
      </c>
      <c r="I55" s="24">
        <f>COUNTIFS('Risk Register'!$F$5:$F$297,$B55,'Risk Register'!$U$5:$U$297,"High")+COUNTIFS('Risk Register'!$F$5:$F$297,$B55,'Risk Register'!$U$5:$U$297,"Critical")</f>
        <v>13</v>
      </c>
    </row>
    <row r="56" spans="1:9" x14ac:dyDescent="0.25">
      <c r="A56" s="22" t="s">
        <v>92</v>
      </c>
      <c r="B56" s="23" t="s">
        <v>36</v>
      </c>
      <c r="C56" s="24">
        <f>COUNTIFS('Summary by Assessment'!$E$5:$E$101,$B56)</f>
        <v>20</v>
      </c>
      <c r="D56" s="24">
        <f>COUNTIFS('Risk Register'!$F$5:$F$297,$B56)</f>
        <v>62</v>
      </c>
      <c r="E56" s="25">
        <f>IFERROR(AVERAGEIFS('Risk Register'!$O$5:$O$297,'Risk Register'!$F$5:$F$297,$B56),"-")</f>
        <v>9.758064516129032</v>
      </c>
      <c r="F56" s="25">
        <f>IFERROR(AVERAGEIFS('Risk Register'!$T$5:$T$297,'Risk Register'!$F$5:$F$297,$B56),"-")</f>
        <v>5.725806451612903</v>
      </c>
      <c r="G56" s="25">
        <f>IFERROR(AVERAGEIFS('Risk Register'!$V$5:$V$297,'Risk Register'!$F$5:$F$297,$B56),"-")</f>
        <v>4.032258064516129</v>
      </c>
      <c r="H56" s="24">
        <f>IF(D56=0,"-",_xlfn.MAXIFS('Risk Register'!$T$5:$T$297,'Risk Register'!$F$5:$F$297,$B56))</f>
        <v>12</v>
      </c>
      <c r="I56" s="24">
        <f>COUNTIFS('Risk Register'!$F$5:$F$297,$B56,'Risk Register'!$U$5:$U$297,"High")+COUNTIFS('Risk Register'!$F$5:$F$297,$B56,'Risk Register'!$U$5:$U$297,"Critical")</f>
        <v>2</v>
      </c>
    </row>
    <row r="57" spans="1:9" x14ac:dyDescent="0.25">
      <c r="A57" s="22" t="s">
        <v>39</v>
      </c>
      <c r="B57" s="23" t="s">
        <v>155</v>
      </c>
      <c r="C57" s="24">
        <f>COUNTIFS('Summary by Assessment'!$E$5:$E$101,$B57)</f>
        <v>22</v>
      </c>
      <c r="D57" s="24">
        <f>COUNTIFS('Risk Register'!$F$5:$F$297,$B57)</f>
        <v>56</v>
      </c>
      <c r="E57" s="25">
        <f>IFERROR(AVERAGEIFS('Risk Register'!$O$5:$O$297,'Risk Register'!$F$5:$F$297,$B57),"-")</f>
        <v>7.875</v>
      </c>
      <c r="F57" s="25">
        <f>IFERROR(AVERAGEIFS('Risk Register'!$T$5:$T$297,'Risk Register'!$F$5:$F$297,$B57),"-")</f>
        <v>4.6428571428571432</v>
      </c>
      <c r="G57" s="25">
        <f>IFERROR(AVERAGEIFS('Risk Register'!$V$5:$V$297,'Risk Register'!$F$5:$F$297,$B57),"-")</f>
        <v>3.2321428571428572</v>
      </c>
      <c r="H57" s="24">
        <f>IF(D57=0,"-",_xlfn.MAXIFS('Risk Register'!$T$5:$T$297,'Risk Register'!$F$5:$F$297,$B57))</f>
        <v>9</v>
      </c>
      <c r="I57" s="24">
        <f>COUNTIFS('Risk Register'!$F$5:$F$297,$B57,'Risk Register'!$U$5:$U$297,"High")+COUNTIFS('Risk Register'!$F$5:$F$297,$B57,'Risk Register'!$U$5:$U$297,"Critical")</f>
        <v>0</v>
      </c>
    </row>
    <row r="58" spans="1:9" x14ac:dyDescent="0.25">
      <c r="A58" s="22" t="s">
        <v>218</v>
      </c>
      <c r="B58" s="23" t="s">
        <v>232</v>
      </c>
      <c r="C58" s="24">
        <f>COUNTIFS('Summary by Assessment'!$E$5:$E$101,$B58)</f>
        <v>13</v>
      </c>
      <c r="D58" s="24">
        <f>COUNTIFS('Risk Register'!$F$5:$F$297,$B58)</f>
        <v>35</v>
      </c>
      <c r="E58" s="25">
        <f>IFERROR(AVERAGEIFS('Risk Register'!$O$5:$O$297,'Risk Register'!$F$5:$F$297,$B58),"-")</f>
        <v>8.9428571428571431</v>
      </c>
      <c r="F58" s="25">
        <f>IFERROR(AVERAGEIFS('Risk Register'!$T$5:$T$297,'Risk Register'!$F$5:$F$297,$B58),"-")</f>
        <v>4.5999999999999996</v>
      </c>
      <c r="G58" s="25">
        <f>IFERROR(AVERAGEIFS('Risk Register'!$V$5:$V$297,'Risk Register'!$F$5:$F$297,$B58),"-")</f>
        <v>4.3428571428571425</v>
      </c>
      <c r="H58" s="24">
        <f>IF(D58=0,"-",_xlfn.MAXIFS('Risk Register'!$T$5:$T$297,'Risk Register'!$F$5:$F$297,$B58))</f>
        <v>9</v>
      </c>
      <c r="I58" s="24">
        <f>COUNTIFS('Risk Register'!$F$5:$F$297,$B58,'Risk Register'!$U$5:$U$297,"High")+COUNTIFS('Risk Register'!$F$5:$F$297,$B58,'Risk Register'!$U$5:$U$297,"Critical")</f>
        <v>0</v>
      </c>
    </row>
    <row r="59" spans="1:9" x14ac:dyDescent="0.25">
      <c r="A59" s="22" t="s">
        <v>62</v>
      </c>
      <c r="B59" s="23" t="s">
        <v>170</v>
      </c>
      <c r="C59" s="24">
        <f>COUNTIFS('Summary by Assessment'!$E$5:$E$101,$B59)</f>
        <v>9</v>
      </c>
      <c r="D59" s="24">
        <f>COUNTIFS('Risk Register'!$F$5:$F$297,$B59)</f>
        <v>21</v>
      </c>
      <c r="E59" s="25">
        <f>IFERROR(AVERAGEIFS('Risk Register'!$O$5:$O$297,'Risk Register'!$F$5:$F$297,$B59),"-")</f>
        <v>7.7619047619047619</v>
      </c>
      <c r="F59" s="25">
        <f>IFERROR(AVERAGEIFS('Risk Register'!$T$5:$T$297,'Risk Register'!$F$5:$F$297,$B59),"-")</f>
        <v>4.3809523809523814</v>
      </c>
      <c r="G59" s="25">
        <f>IFERROR(AVERAGEIFS('Risk Register'!$V$5:$V$297,'Risk Register'!$F$5:$F$297,$B59),"-")</f>
        <v>3.3809523809523809</v>
      </c>
      <c r="H59" s="24">
        <f>IF(D59=0,"-",_xlfn.MAXIFS('Risk Register'!$T$5:$T$297,'Risk Register'!$F$5:$F$297,$B59))</f>
        <v>9</v>
      </c>
      <c r="I59" s="24">
        <f>COUNTIFS('Risk Register'!$F$5:$F$297,$B59,'Risk Register'!$U$5:$U$297,"High")+COUNTIFS('Risk Register'!$F$5:$F$297,$B59,'Risk Register'!$U$5:$U$297,"Critical")</f>
        <v>0</v>
      </c>
    </row>
    <row r="60" spans="1:9" x14ac:dyDescent="0.25">
      <c r="A60" s="22" t="s">
        <v>1334</v>
      </c>
      <c r="B60" s="23" t="s">
        <v>966</v>
      </c>
      <c r="C60" s="24">
        <f>COUNTIFS('Summary by Assessment'!$E$5:$E$101,$B60)</f>
        <v>2</v>
      </c>
      <c r="D60" s="24">
        <f>COUNTIFS('Risk Register'!$F$5:$F$297,$B60)</f>
        <v>10</v>
      </c>
      <c r="E60" s="25">
        <f>IFERROR(AVERAGEIFS('Risk Register'!$O$5:$O$297,'Risk Register'!$F$5:$F$297,$B60),"-")</f>
        <v>7.8</v>
      </c>
      <c r="F60" s="25">
        <f>IFERROR(AVERAGEIFS('Risk Register'!$T$5:$T$297,'Risk Register'!$F$5:$F$297,$B60),"-")</f>
        <v>2.2000000000000002</v>
      </c>
      <c r="G60" s="25">
        <f>IFERROR(AVERAGEIFS('Risk Register'!$V$5:$V$297,'Risk Register'!$F$5:$F$297,$B60),"-")</f>
        <v>5.6</v>
      </c>
      <c r="H60" s="24">
        <f>IF(D60=0,"-",_xlfn.MAXIFS('Risk Register'!$T$5:$T$297,'Risk Register'!$F$5:$F$297,$B60))</f>
        <v>4</v>
      </c>
      <c r="I60" s="24">
        <f>COUNTIFS('Risk Register'!$F$5:$F$297,$B60,'Risk Register'!$U$5:$U$297,"High")+COUNTIFS('Risk Register'!$F$5:$F$297,$B60,'Risk Register'!$U$5:$U$297,"Critical")</f>
        <v>0</v>
      </c>
    </row>
    <row r="61" spans="1:9" x14ac:dyDescent="0.25">
      <c r="A61" s="22" t="s">
        <v>1335</v>
      </c>
      <c r="B61" s="23" t="s">
        <v>445</v>
      </c>
      <c r="C61" s="24">
        <f>COUNTIFS('Summary by Assessment'!$E$5:$E$101,$B61)</f>
        <v>4</v>
      </c>
      <c r="D61" s="24">
        <f>COUNTIFS('Risk Register'!$F$5:$F$297,$B61)</f>
        <v>8</v>
      </c>
      <c r="E61" s="25">
        <f>IFERROR(AVERAGEIFS('Risk Register'!$O$5:$O$297,'Risk Register'!$F$5:$F$297,$B61),"-")</f>
        <v>7.25</v>
      </c>
      <c r="F61" s="25">
        <f>IFERROR(AVERAGEIFS('Risk Register'!$T$5:$T$297,'Risk Register'!$F$5:$F$297,$B61),"-")</f>
        <v>5.5</v>
      </c>
      <c r="G61" s="25">
        <f>IFERROR(AVERAGEIFS('Risk Register'!$V$5:$V$297,'Risk Register'!$F$5:$F$297,$B61),"-")</f>
        <v>1.75</v>
      </c>
      <c r="H61" s="24">
        <f>IF(D61=0,"-",_xlfn.MAXIFS('Risk Register'!$T$5:$T$297,'Risk Register'!$F$5:$F$297,$B61))</f>
        <v>8</v>
      </c>
      <c r="I61" s="24">
        <f>COUNTIFS('Risk Register'!$F$5:$F$297,$B61,'Risk Register'!$U$5:$U$297,"High")+COUNTIFS('Risk Register'!$F$5:$F$297,$B61,'Risk Register'!$U$5:$U$297,"Critical")</f>
        <v>0</v>
      </c>
    </row>
    <row r="62" spans="1:9" x14ac:dyDescent="0.25">
      <c r="A62" s="22"/>
      <c r="B62" s="26" t="s">
        <v>1336</v>
      </c>
      <c r="C62" s="27">
        <f>SUM(C55:C61)</f>
        <v>97</v>
      </c>
      <c r="D62" s="27">
        <f>SUM(D55:D61)</f>
        <v>293</v>
      </c>
      <c r="E62" s="28">
        <f>AVERAGE('Risk Register'!$O$5:$O$297)</f>
        <v>9.2832764505119449</v>
      </c>
      <c r="F62" s="28">
        <f>AVERAGE('Risk Register'!$T$5:$T$297)</f>
        <v>5.3720136518771335</v>
      </c>
      <c r="G62" s="28">
        <f>AVERAGE('Risk Register'!$V$5:$V$297)</f>
        <v>3.9112627986348123</v>
      </c>
      <c r="H62" s="27">
        <f>MAX('Risk Register'!$T$5:$T$297)</f>
        <v>12</v>
      </c>
      <c r="I62" s="27">
        <f>SUM(I55:I61)</f>
        <v>15</v>
      </c>
    </row>
    <row r="65" spans="1:9" x14ac:dyDescent="0.25">
      <c r="A65" s="21" t="s">
        <v>1337</v>
      </c>
    </row>
    <row r="66" spans="1:9" ht="31.5" customHeight="1" x14ac:dyDescent="0.25">
      <c r="A66" s="5" t="s">
        <v>1325</v>
      </c>
      <c r="B66" s="5" t="s">
        <v>1326</v>
      </c>
      <c r="C66" s="5" t="s">
        <v>1327</v>
      </c>
      <c r="D66" s="5" t="s">
        <v>1328</v>
      </c>
      <c r="E66" s="5" t="s">
        <v>1329</v>
      </c>
      <c r="F66" s="5" t="s">
        <v>1330</v>
      </c>
      <c r="G66" s="5" t="s">
        <v>1331</v>
      </c>
      <c r="H66" s="5" t="s">
        <v>1332</v>
      </c>
      <c r="I66" s="5" t="s">
        <v>1333</v>
      </c>
    </row>
    <row r="67" spans="1:9" ht="25.5" x14ac:dyDescent="0.25">
      <c r="A67" s="22" t="s">
        <v>53</v>
      </c>
      <c r="B67" s="23" t="s">
        <v>50</v>
      </c>
      <c r="C67" s="24">
        <f>COUNTIFS('Summary by Assessment'!$E$5:$E$101,$B67,'Summary by Assessment'!$C$5:$C$101,"Perth")</f>
        <v>11</v>
      </c>
      <c r="D67" s="24">
        <f>COUNTIFS('Risk Register'!$F$5:$F$297,$B67,'Risk Register'!$D$5:$D$297,"Perth")</f>
        <v>42</v>
      </c>
      <c r="E67" s="25">
        <f>IFERROR(AVERAGEIFS('Risk Register'!$O$5:$O$297,'Risk Register'!$F$5:$F$297,$B67,'Risk Register'!$D$5:$D$297,"Perth"),"-")</f>
        <v>10.761904761904763</v>
      </c>
      <c r="F67" s="25">
        <f>IFERROR(AVERAGEIFS('Risk Register'!$T$5:$T$297,'Risk Register'!$F$5:$F$297,$B67,'Risk Register'!$D$5:$D$297,"Perth"),"-")</f>
        <v>6.5714285714285712</v>
      </c>
      <c r="G67" s="25">
        <f>IFERROR(AVERAGEIFS('Risk Register'!$V$5:$V$297,'Risk Register'!$F$5:$F$297,$B67,'Risk Register'!$D$5:$D$297,"Perth"),"-")</f>
        <v>4.1904761904761907</v>
      </c>
      <c r="H67" s="24">
        <f>IF(D67=0,"-",_xlfn.MAXIFS('Risk Register'!$T$5:$T$297,'Risk Register'!$F$5:$F$297,$B67,'Risk Register'!$D$5:$D$297,"Perth"))</f>
        <v>12</v>
      </c>
      <c r="I67" s="24">
        <f>COUNTIFS('Risk Register'!$F$5:$F$297,$B67,'Risk Register'!$U$5:$U$297,"High",'Risk Register'!$D$5:$D$297,"Perth")+COUNTIFS('Risk Register'!$F$5:$F$297,$B67,'Risk Register'!$U$5:$U$297,"Critical",'Risk Register'!$D$5:$D$297,"Perth")</f>
        <v>6</v>
      </c>
    </row>
    <row r="68" spans="1:9" x14ac:dyDescent="0.25">
      <c r="A68" s="22" t="s">
        <v>92</v>
      </c>
      <c r="B68" s="23" t="s">
        <v>36</v>
      </c>
      <c r="C68" s="24">
        <f>COUNTIFS('Summary by Assessment'!$E$5:$E$101,$B68,'Summary by Assessment'!$C$5:$C$101,"Perth")</f>
        <v>9</v>
      </c>
      <c r="D68" s="24">
        <f>COUNTIFS('Risk Register'!$F$5:$F$297,$B68,'Risk Register'!$D$5:$D$297,"Perth")</f>
        <v>30</v>
      </c>
      <c r="E68" s="25">
        <f>IFERROR(AVERAGEIFS('Risk Register'!$O$5:$O$297,'Risk Register'!$F$5:$F$297,$B68,'Risk Register'!$D$5:$D$297,"Perth"),"-")</f>
        <v>8.9333333333333336</v>
      </c>
      <c r="F68" s="25">
        <f>IFERROR(AVERAGEIFS('Risk Register'!$T$5:$T$297,'Risk Register'!$F$5:$F$297,$B68,'Risk Register'!$D$5:$D$297,"Perth"),"-")</f>
        <v>6</v>
      </c>
      <c r="G68" s="25">
        <f>IFERROR(AVERAGEIFS('Risk Register'!$V$5:$V$297,'Risk Register'!$F$5:$F$297,$B68,'Risk Register'!$D$5:$D$297,"Perth"),"-")</f>
        <v>2.9333333333333331</v>
      </c>
      <c r="H68" s="24">
        <f>IF(D68=0,"-",_xlfn.MAXIFS('Risk Register'!$T$5:$T$297,'Risk Register'!$F$5:$F$297,$B68,'Risk Register'!$D$5:$D$297,"Perth"))</f>
        <v>12</v>
      </c>
      <c r="I68" s="24">
        <f>COUNTIFS('Risk Register'!$F$5:$F$297,$B68,'Risk Register'!$U$5:$U$297,"High",'Risk Register'!$D$5:$D$297,"Perth")+COUNTIFS('Risk Register'!$F$5:$F$297,$B68,'Risk Register'!$U$5:$U$297,"Critical",'Risk Register'!$D$5:$D$297,"Perth")</f>
        <v>2</v>
      </c>
    </row>
    <row r="69" spans="1:9" x14ac:dyDescent="0.25">
      <c r="A69" s="22" t="s">
        <v>39</v>
      </c>
      <c r="B69" s="23" t="s">
        <v>155</v>
      </c>
      <c r="C69" s="24">
        <f>COUNTIFS('Summary by Assessment'!$E$5:$E$101,$B69,'Summary by Assessment'!$C$5:$C$101,"Perth")</f>
        <v>17</v>
      </c>
      <c r="D69" s="24">
        <f>COUNTIFS('Risk Register'!$F$5:$F$297,$B69,'Risk Register'!$D$5:$D$297,"Perth")</f>
        <v>41</v>
      </c>
      <c r="E69" s="25">
        <f>IFERROR(AVERAGEIFS('Risk Register'!$O$5:$O$297,'Risk Register'!$F$5:$F$297,$B69,'Risk Register'!$D$5:$D$297,"Perth"),"-")</f>
        <v>7.3170731707317076</v>
      </c>
      <c r="F69" s="25">
        <f>IFERROR(AVERAGEIFS('Risk Register'!$T$5:$T$297,'Risk Register'!$F$5:$F$297,$B69,'Risk Register'!$D$5:$D$297,"Perth"),"-")</f>
        <v>4.5121951219512191</v>
      </c>
      <c r="G69" s="25">
        <f>IFERROR(AVERAGEIFS('Risk Register'!$V$5:$V$297,'Risk Register'!$F$5:$F$297,$B69,'Risk Register'!$D$5:$D$297,"Perth"),"-")</f>
        <v>2.8048780487804876</v>
      </c>
      <c r="H69" s="24">
        <f>IF(D69=0,"-",_xlfn.MAXIFS('Risk Register'!$T$5:$T$297,'Risk Register'!$F$5:$F$297,$B69,'Risk Register'!$D$5:$D$297,"Perth"))</f>
        <v>9</v>
      </c>
      <c r="I69" s="24">
        <f>COUNTIFS('Risk Register'!$F$5:$F$297,$B69,'Risk Register'!$U$5:$U$297,"High",'Risk Register'!$D$5:$D$297,"Perth")+COUNTIFS('Risk Register'!$F$5:$F$297,$B69,'Risk Register'!$U$5:$U$297,"Critical",'Risk Register'!$D$5:$D$297,"Perth")</f>
        <v>0</v>
      </c>
    </row>
    <row r="70" spans="1:9" x14ac:dyDescent="0.25">
      <c r="A70" s="22" t="s">
        <v>218</v>
      </c>
      <c r="B70" s="23" t="s">
        <v>232</v>
      </c>
      <c r="C70" s="24">
        <f>COUNTIFS('Summary by Assessment'!$E$5:$E$101,$B70,'Summary by Assessment'!$C$5:$C$101,"Perth")</f>
        <v>11</v>
      </c>
      <c r="D70" s="24">
        <f>COUNTIFS('Risk Register'!$F$5:$F$297,$B70,'Risk Register'!$D$5:$D$297,"Perth")</f>
        <v>27</v>
      </c>
      <c r="E70" s="25">
        <f>IFERROR(AVERAGEIFS('Risk Register'!$O$5:$O$297,'Risk Register'!$F$5:$F$297,$B70,'Risk Register'!$D$5:$D$297,"Perth"),"-")</f>
        <v>8.0370370370370363</v>
      </c>
      <c r="F70" s="25">
        <f>IFERROR(AVERAGEIFS('Risk Register'!$T$5:$T$297,'Risk Register'!$F$5:$F$297,$B70,'Risk Register'!$D$5:$D$297,"Perth"),"-")</f>
        <v>4.2962962962962967</v>
      </c>
      <c r="G70" s="25">
        <f>IFERROR(AVERAGEIFS('Risk Register'!$V$5:$V$297,'Risk Register'!$F$5:$F$297,$B70,'Risk Register'!$D$5:$D$297,"Perth"),"-")</f>
        <v>3.7407407407407409</v>
      </c>
      <c r="H70" s="24">
        <f>IF(D70=0,"-",_xlfn.MAXIFS('Risk Register'!$T$5:$T$297,'Risk Register'!$F$5:$F$297,$B70,'Risk Register'!$D$5:$D$297,"Perth"))</f>
        <v>9</v>
      </c>
      <c r="I70" s="24">
        <f>COUNTIFS('Risk Register'!$F$5:$F$297,$B70,'Risk Register'!$U$5:$U$297,"High",'Risk Register'!$D$5:$D$297,"Perth")+COUNTIFS('Risk Register'!$F$5:$F$297,$B70,'Risk Register'!$U$5:$U$297,"Critical",'Risk Register'!$D$5:$D$297,"Perth")</f>
        <v>0</v>
      </c>
    </row>
    <row r="71" spans="1:9" x14ac:dyDescent="0.25">
      <c r="A71" s="22" t="s">
        <v>62</v>
      </c>
      <c r="B71" s="23" t="s">
        <v>170</v>
      </c>
      <c r="C71" s="24">
        <f>COUNTIFS('Summary by Assessment'!$E$5:$E$101,$B71,'Summary by Assessment'!$C$5:$C$101,"Perth")</f>
        <v>6</v>
      </c>
      <c r="D71" s="24">
        <f>COUNTIFS('Risk Register'!$F$5:$F$297,$B71,'Risk Register'!$D$5:$D$297,"Perth")</f>
        <v>12</v>
      </c>
      <c r="E71" s="25">
        <f>IFERROR(AVERAGEIFS('Risk Register'!$O$5:$O$297,'Risk Register'!$F$5:$F$297,$B71,'Risk Register'!$D$5:$D$297,"Perth"),"-")</f>
        <v>6.083333333333333</v>
      </c>
      <c r="F71" s="25">
        <f>IFERROR(AVERAGEIFS('Risk Register'!$T$5:$T$297,'Risk Register'!$F$5:$F$297,$B71,'Risk Register'!$D$5:$D$297,"Perth"),"-")</f>
        <v>3.6666666666666665</v>
      </c>
      <c r="G71" s="25">
        <f>IFERROR(AVERAGEIFS('Risk Register'!$V$5:$V$297,'Risk Register'!$F$5:$F$297,$B71,'Risk Register'!$D$5:$D$297,"Perth"),"-")</f>
        <v>2.4166666666666665</v>
      </c>
      <c r="H71" s="24">
        <f>IF(D71=0,"-",_xlfn.MAXIFS('Risk Register'!$T$5:$T$297,'Risk Register'!$F$5:$F$297,$B71,'Risk Register'!$D$5:$D$297,"Perth"))</f>
        <v>8</v>
      </c>
      <c r="I71" s="24">
        <f>COUNTIFS('Risk Register'!$F$5:$F$297,$B71,'Risk Register'!$U$5:$U$297,"High",'Risk Register'!$D$5:$D$297,"Perth")+COUNTIFS('Risk Register'!$F$5:$F$297,$B71,'Risk Register'!$U$5:$U$297,"Critical",'Risk Register'!$D$5:$D$297,"Perth")</f>
        <v>0</v>
      </c>
    </row>
    <row r="72" spans="1:9" x14ac:dyDescent="0.25">
      <c r="A72" s="22" t="s">
        <v>1334</v>
      </c>
      <c r="B72" s="23" t="s">
        <v>966</v>
      </c>
      <c r="C72" s="24">
        <f>COUNTIFS('Summary by Assessment'!$E$5:$E$101,$B72,'Summary by Assessment'!$C$5:$C$101,"Perth")</f>
        <v>1</v>
      </c>
      <c r="D72" s="24">
        <f>COUNTIFS('Risk Register'!$F$5:$F$297,$B72,'Risk Register'!$D$5:$D$297,"Perth")</f>
        <v>5</v>
      </c>
      <c r="E72" s="25">
        <f>IFERROR(AVERAGEIFS('Risk Register'!$O$5:$O$297,'Risk Register'!$F$5:$F$297,$B72,'Risk Register'!$D$5:$D$297,"Perth"),"-")</f>
        <v>7.8</v>
      </c>
      <c r="F72" s="25">
        <f>IFERROR(AVERAGEIFS('Risk Register'!$T$5:$T$297,'Risk Register'!$F$5:$F$297,$B72,'Risk Register'!$D$5:$D$297,"Perth"),"-")</f>
        <v>2.2000000000000002</v>
      </c>
      <c r="G72" s="25">
        <f>IFERROR(AVERAGEIFS('Risk Register'!$V$5:$V$297,'Risk Register'!$F$5:$F$297,$B72,'Risk Register'!$D$5:$D$297,"Perth"),"-")</f>
        <v>5.6</v>
      </c>
      <c r="H72" s="24">
        <f>IF(D72=0,"-",_xlfn.MAXIFS('Risk Register'!$T$5:$T$297,'Risk Register'!$F$5:$F$297,$B72,'Risk Register'!$D$5:$D$297,"Perth"))</f>
        <v>4</v>
      </c>
      <c r="I72" s="24">
        <f>COUNTIFS('Risk Register'!$F$5:$F$297,$B72,'Risk Register'!$U$5:$U$297,"High",'Risk Register'!$D$5:$D$297,"Perth")+COUNTIFS('Risk Register'!$F$5:$F$297,$B72,'Risk Register'!$U$5:$U$297,"Critical",'Risk Register'!$D$5:$D$297,"Perth")</f>
        <v>0</v>
      </c>
    </row>
    <row r="73" spans="1:9" x14ac:dyDescent="0.25">
      <c r="A73" s="22" t="s">
        <v>1335</v>
      </c>
      <c r="B73" s="23" t="s">
        <v>445</v>
      </c>
      <c r="C73" s="24">
        <f>COUNTIFS('Summary by Assessment'!$E$5:$E$101,$B73,'Summary by Assessment'!$C$5:$C$101,"Perth")</f>
        <v>2</v>
      </c>
      <c r="D73" s="24">
        <f>COUNTIFS('Risk Register'!$F$5:$F$297,$B73,'Risk Register'!$D$5:$D$297,"Perth")</f>
        <v>4</v>
      </c>
      <c r="E73" s="25">
        <f>IFERROR(AVERAGEIFS('Risk Register'!$O$5:$O$297,'Risk Register'!$F$5:$F$297,$B73,'Risk Register'!$D$5:$D$297,"Perth"),"-")</f>
        <v>7.25</v>
      </c>
      <c r="F73" s="25">
        <f>IFERROR(AVERAGEIFS('Risk Register'!$T$5:$T$297,'Risk Register'!$F$5:$F$297,$B73,'Risk Register'!$D$5:$D$297,"Perth"),"-")</f>
        <v>5.5</v>
      </c>
      <c r="G73" s="25">
        <f>IFERROR(AVERAGEIFS('Risk Register'!$V$5:$V$297,'Risk Register'!$F$5:$F$297,$B73,'Risk Register'!$D$5:$D$297,"Perth"),"-")</f>
        <v>1.75</v>
      </c>
      <c r="H73" s="24">
        <f>IF(D73=0,"-",_xlfn.MAXIFS('Risk Register'!$T$5:$T$297,'Risk Register'!$F$5:$F$297,$B73,'Risk Register'!$D$5:$D$297,"Perth"))</f>
        <v>8</v>
      </c>
      <c r="I73" s="24">
        <f>COUNTIFS('Risk Register'!$F$5:$F$297,$B73,'Risk Register'!$U$5:$U$297,"High",'Risk Register'!$D$5:$D$297,"Perth")+COUNTIFS('Risk Register'!$F$5:$F$297,$B73,'Risk Register'!$U$5:$U$297,"Critical",'Risk Register'!$D$5:$D$297,"Perth")</f>
        <v>0</v>
      </c>
    </row>
    <row r="74" spans="1:9" x14ac:dyDescent="0.25">
      <c r="A74" s="22"/>
      <c r="B74" s="26" t="s">
        <v>1336</v>
      </c>
      <c r="C74" s="27">
        <f>SUM(C67:C73)</f>
        <v>57</v>
      </c>
      <c r="D74" s="27">
        <f>SUM(D67:D73)</f>
        <v>161</v>
      </c>
      <c r="E74" s="28">
        <f>IFERROR(AVERAGEIFS('Risk Register'!$O$5:$O$297,'Risk Register'!$D$5:$D$297,"Perth"),"-")</f>
        <v>8.5590062111801242</v>
      </c>
      <c r="F74" s="28">
        <f>IFERROR(AVERAGEIFS('Risk Register'!$T$5:$T$297,'Risk Register'!$D$5:$D$297,"Perth"),"-")</f>
        <v>5.1801242236024843</v>
      </c>
      <c r="G74" s="28">
        <f>IFERROR(AVERAGEIFS('Risk Register'!$V$5:$V$297,'Risk Register'!$D$5:$D$297,"Perth"),"-")</f>
        <v>3.3788819875776399</v>
      </c>
      <c r="H74" s="27">
        <f>_xlfn.MAXIFS('Risk Register'!$T$5:$T$297,'Risk Register'!$D$5:$D$297,"Perth")</f>
        <v>12</v>
      </c>
      <c r="I74" s="27">
        <f>SUM(I67:I73)</f>
        <v>8</v>
      </c>
    </row>
    <row r="77" spans="1:9" x14ac:dyDescent="0.25">
      <c r="A77" s="21" t="s">
        <v>1338</v>
      </c>
    </row>
    <row r="78" spans="1:9" ht="31.5" customHeight="1" x14ac:dyDescent="0.25">
      <c r="A78" s="5" t="s">
        <v>1325</v>
      </c>
      <c r="B78" s="5" t="s">
        <v>1326</v>
      </c>
      <c r="C78" s="5" t="s">
        <v>1327</v>
      </c>
      <c r="D78" s="5" t="s">
        <v>1328</v>
      </c>
      <c r="E78" s="5" t="s">
        <v>1329</v>
      </c>
      <c r="F78" s="5" t="s">
        <v>1330</v>
      </c>
      <c r="G78" s="5" t="s">
        <v>1331</v>
      </c>
      <c r="H78" s="5" t="s">
        <v>1332</v>
      </c>
      <c r="I78" s="5" t="s">
        <v>1333</v>
      </c>
    </row>
    <row r="79" spans="1:9" ht="25.5" x14ac:dyDescent="0.25">
      <c r="A79" s="22" t="s">
        <v>53</v>
      </c>
      <c r="B79" s="23" t="s">
        <v>50</v>
      </c>
      <c r="C79" s="24">
        <f>COUNTIFS('Summary by Assessment'!$E$5:$E$101,$B79,'Summary by Assessment'!$C$5:$C$101,"Fremantle")</f>
        <v>16</v>
      </c>
      <c r="D79" s="24">
        <f>COUNTIFS('Risk Register'!$F$5:$F$297,$B79,'Risk Register'!$D$5:$D$297,"Fremantle")</f>
        <v>59</v>
      </c>
      <c r="E79" s="25">
        <f>IFERROR(AVERAGEIFS('Risk Register'!$O$5:$O$297,'Risk Register'!$F$5:$F$297,$B79,'Risk Register'!$D$5:$D$297,"Fremantle"),"-")</f>
        <v>10.338983050847459</v>
      </c>
      <c r="F79" s="25">
        <f>IFERROR(AVERAGEIFS('Risk Register'!$T$5:$T$297,'Risk Register'!$F$5:$F$297,$B79,'Risk Register'!$D$5:$D$297,"Fremantle"),"-")</f>
        <v>6.1694915254237293</v>
      </c>
      <c r="G79" s="25">
        <f>IFERROR(AVERAGEIFS('Risk Register'!$V$5:$V$297,'Risk Register'!$F$5:$F$297,$B79,'Risk Register'!$D$5:$D$297,"Fremantle"),"-")</f>
        <v>4.1694915254237293</v>
      </c>
      <c r="H79" s="24">
        <f>IF(D79=0,"-",_xlfn.MAXIFS('Risk Register'!$T$5:$T$297,'Risk Register'!$F$5:$F$297,$B79,'Risk Register'!$D$5:$D$297,"Fremantle"))</f>
        <v>12</v>
      </c>
      <c r="I79" s="24">
        <f>COUNTIFS('Risk Register'!$F$5:$F$297,$B79,'Risk Register'!$U$5:$U$297,"High",'Risk Register'!$D$5:$D$297,"Fremantle")+COUNTIFS('Risk Register'!$F$5:$F$297,$B79,'Risk Register'!$U$5:$U$297,"Critical",'Risk Register'!$D$5:$D$297,"Fremantle")</f>
        <v>7</v>
      </c>
    </row>
    <row r="80" spans="1:9" x14ac:dyDescent="0.25">
      <c r="A80" s="22" t="s">
        <v>92</v>
      </c>
      <c r="B80" s="23" t="s">
        <v>36</v>
      </c>
      <c r="C80" s="24">
        <f>COUNTIFS('Summary by Assessment'!$E$5:$E$101,$B80,'Summary by Assessment'!$C$5:$C$101,"Fremantle")</f>
        <v>11</v>
      </c>
      <c r="D80" s="24">
        <f>COUNTIFS('Risk Register'!$F$5:$F$297,$B80,'Risk Register'!$D$5:$D$297,"Fremantle")</f>
        <v>32</v>
      </c>
      <c r="E80" s="25">
        <f>IFERROR(AVERAGEIFS('Risk Register'!$O$5:$O$297,'Risk Register'!$F$5:$F$297,$B80,'Risk Register'!$D$5:$D$297,"Fremantle"),"-")</f>
        <v>10.53125</v>
      </c>
      <c r="F80" s="25">
        <f>IFERROR(AVERAGEIFS('Risk Register'!$T$5:$T$297,'Risk Register'!$F$5:$F$297,$B80,'Risk Register'!$D$5:$D$297,"Fremantle"),"-")</f>
        <v>5.46875</v>
      </c>
      <c r="G80" s="25">
        <f>IFERROR(AVERAGEIFS('Risk Register'!$V$5:$V$297,'Risk Register'!$F$5:$F$297,$B80,'Risk Register'!$D$5:$D$297,"Fremantle"),"-")</f>
        <v>5.0625</v>
      </c>
      <c r="H80" s="24">
        <f>IF(D80=0,"-",_xlfn.MAXIFS('Risk Register'!$T$5:$T$297,'Risk Register'!$F$5:$F$297,$B80,'Risk Register'!$D$5:$D$297,"Fremantle"))</f>
        <v>9</v>
      </c>
      <c r="I80" s="24">
        <f>COUNTIFS('Risk Register'!$F$5:$F$297,$B80,'Risk Register'!$U$5:$U$297,"High",'Risk Register'!$D$5:$D$297,"Fremantle")+COUNTIFS('Risk Register'!$F$5:$F$297,$B80,'Risk Register'!$U$5:$U$297,"Critical",'Risk Register'!$D$5:$D$297,"Fremantle")</f>
        <v>0</v>
      </c>
    </row>
    <row r="81" spans="1:9" x14ac:dyDescent="0.25">
      <c r="A81" s="22" t="s">
        <v>39</v>
      </c>
      <c r="B81" s="23" t="s">
        <v>155</v>
      </c>
      <c r="C81" s="24">
        <f>COUNTIFS('Summary by Assessment'!$E$5:$E$101,$B81,'Summary by Assessment'!$C$5:$C$101,"Fremantle")</f>
        <v>5</v>
      </c>
      <c r="D81" s="24">
        <f>COUNTIFS('Risk Register'!$F$5:$F$297,$B81,'Risk Register'!$D$5:$D$297,"Fremantle")</f>
        <v>15</v>
      </c>
      <c r="E81" s="25">
        <f>IFERROR(AVERAGEIFS('Risk Register'!$O$5:$O$297,'Risk Register'!$F$5:$F$297,$B81,'Risk Register'!$D$5:$D$297,"Fremantle"),"-")</f>
        <v>9.4</v>
      </c>
      <c r="F81" s="25">
        <f>IFERROR(AVERAGEIFS('Risk Register'!$T$5:$T$297,'Risk Register'!$F$5:$F$297,$B81,'Risk Register'!$D$5:$D$297,"Fremantle"),"-")</f>
        <v>5</v>
      </c>
      <c r="G81" s="25">
        <f>IFERROR(AVERAGEIFS('Risk Register'!$V$5:$V$297,'Risk Register'!$F$5:$F$297,$B81,'Risk Register'!$D$5:$D$297,"Fremantle"),"-")</f>
        <v>4.4000000000000004</v>
      </c>
      <c r="H81" s="24">
        <f>IF(D81=0,"-",_xlfn.MAXIFS('Risk Register'!$T$5:$T$297,'Risk Register'!$F$5:$F$297,$B81,'Risk Register'!$D$5:$D$297,"Fremantle"))</f>
        <v>9</v>
      </c>
      <c r="I81" s="24">
        <f>COUNTIFS('Risk Register'!$F$5:$F$297,$B81,'Risk Register'!$U$5:$U$297,"High",'Risk Register'!$D$5:$D$297,"Fremantle")+COUNTIFS('Risk Register'!$F$5:$F$297,$B81,'Risk Register'!$U$5:$U$297,"Critical",'Risk Register'!$D$5:$D$297,"Fremantle")</f>
        <v>0</v>
      </c>
    </row>
    <row r="82" spans="1:9" x14ac:dyDescent="0.25">
      <c r="A82" s="22" t="s">
        <v>218</v>
      </c>
      <c r="B82" s="23" t="s">
        <v>232</v>
      </c>
      <c r="C82" s="24">
        <f>COUNTIFS('Summary by Assessment'!$E$5:$E$101,$B82,'Summary by Assessment'!$C$5:$C$101,"Fremantle")</f>
        <v>2</v>
      </c>
      <c r="D82" s="24">
        <f>COUNTIFS('Risk Register'!$F$5:$F$297,$B82,'Risk Register'!$D$5:$D$297,"Fremantle")</f>
        <v>8</v>
      </c>
      <c r="E82" s="25">
        <f>IFERROR(AVERAGEIFS('Risk Register'!$O$5:$O$297,'Risk Register'!$F$5:$F$297,$B82,'Risk Register'!$D$5:$D$297,"Fremantle"),"-")</f>
        <v>12</v>
      </c>
      <c r="F82" s="25">
        <f>IFERROR(AVERAGEIFS('Risk Register'!$T$5:$T$297,'Risk Register'!$F$5:$F$297,$B82,'Risk Register'!$D$5:$D$297,"Fremantle"),"-")</f>
        <v>5.625</v>
      </c>
      <c r="G82" s="25">
        <f>IFERROR(AVERAGEIFS('Risk Register'!$V$5:$V$297,'Risk Register'!$F$5:$F$297,$B82,'Risk Register'!$D$5:$D$297,"Fremantle"),"-")</f>
        <v>6.375</v>
      </c>
      <c r="H82" s="24">
        <f>IF(D82=0,"-",_xlfn.MAXIFS('Risk Register'!$T$5:$T$297,'Risk Register'!$F$5:$F$297,$B82,'Risk Register'!$D$5:$D$297,"Fremantle"))</f>
        <v>8</v>
      </c>
      <c r="I82" s="24">
        <f>COUNTIFS('Risk Register'!$F$5:$F$297,$B82,'Risk Register'!$U$5:$U$297,"High",'Risk Register'!$D$5:$D$297,"Fremantle")+COUNTIFS('Risk Register'!$F$5:$F$297,$B82,'Risk Register'!$U$5:$U$297,"Critical",'Risk Register'!$D$5:$D$297,"Fremantle")</f>
        <v>0</v>
      </c>
    </row>
    <row r="83" spans="1:9" x14ac:dyDescent="0.25">
      <c r="A83" s="22" t="s">
        <v>62</v>
      </c>
      <c r="B83" s="23" t="s">
        <v>170</v>
      </c>
      <c r="C83" s="24">
        <f>COUNTIFS('Summary by Assessment'!$E$5:$E$101,$B83,'Summary by Assessment'!$C$5:$C$101,"Fremantle")</f>
        <v>3</v>
      </c>
      <c r="D83" s="24">
        <f>COUNTIFS('Risk Register'!$F$5:$F$297,$B83,'Risk Register'!$D$5:$D$297,"Fremantle")</f>
        <v>9</v>
      </c>
      <c r="E83" s="25">
        <f>IFERROR(AVERAGEIFS('Risk Register'!$O$5:$O$297,'Risk Register'!$F$5:$F$297,$B83,'Risk Register'!$D$5:$D$297,"Fremantle"),"-")</f>
        <v>10</v>
      </c>
      <c r="F83" s="25">
        <f>IFERROR(AVERAGEIFS('Risk Register'!$T$5:$T$297,'Risk Register'!$F$5:$F$297,$B83,'Risk Register'!$D$5:$D$297,"Fremantle"),"-")</f>
        <v>5.333333333333333</v>
      </c>
      <c r="G83" s="25">
        <f>IFERROR(AVERAGEIFS('Risk Register'!$V$5:$V$297,'Risk Register'!$F$5:$F$297,$B83,'Risk Register'!$D$5:$D$297,"Fremantle"),"-")</f>
        <v>4.666666666666667</v>
      </c>
      <c r="H83" s="24">
        <f>IF(D83=0,"-",_xlfn.MAXIFS('Risk Register'!$T$5:$T$297,'Risk Register'!$F$5:$F$297,$B83,'Risk Register'!$D$5:$D$297,"Fremantle"))</f>
        <v>9</v>
      </c>
      <c r="I83" s="24">
        <f>COUNTIFS('Risk Register'!$F$5:$F$297,$B83,'Risk Register'!$U$5:$U$297,"High",'Risk Register'!$D$5:$D$297,"Fremantle")+COUNTIFS('Risk Register'!$F$5:$F$297,$B83,'Risk Register'!$U$5:$U$297,"Critical",'Risk Register'!$D$5:$D$297,"Fremantle")</f>
        <v>0</v>
      </c>
    </row>
    <row r="84" spans="1:9" x14ac:dyDescent="0.25">
      <c r="A84" s="22" t="s">
        <v>1334</v>
      </c>
      <c r="B84" s="23" t="s">
        <v>966</v>
      </c>
      <c r="C84" s="24">
        <f>COUNTIFS('Summary by Assessment'!$E$5:$E$101,$B84,'Summary by Assessment'!$C$5:$C$101,"Fremantle")</f>
        <v>1</v>
      </c>
      <c r="D84" s="24">
        <f>COUNTIFS('Risk Register'!$F$5:$F$297,$B84,'Risk Register'!$D$5:$D$297,"Fremantle")</f>
        <v>5</v>
      </c>
      <c r="E84" s="25">
        <f>IFERROR(AVERAGEIFS('Risk Register'!$O$5:$O$297,'Risk Register'!$F$5:$F$297,$B84,'Risk Register'!$D$5:$D$297,"Fremantle"),"-")</f>
        <v>7.8</v>
      </c>
      <c r="F84" s="25">
        <f>IFERROR(AVERAGEIFS('Risk Register'!$T$5:$T$297,'Risk Register'!$F$5:$F$297,$B84,'Risk Register'!$D$5:$D$297,"Fremantle"),"-")</f>
        <v>2.2000000000000002</v>
      </c>
      <c r="G84" s="25">
        <f>IFERROR(AVERAGEIFS('Risk Register'!$V$5:$V$297,'Risk Register'!$F$5:$F$297,$B84,'Risk Register'!$D$5:$D$297,"Fremantle"),"-")</f>
        <v>5.6</v>
      </c>
      <c r="H84" s="24">
        <f>IF(D84=0,"-",_xlfn.MAXIFS('Risk Register'!$T$5:$T$297,'Risk Register'!$F$5:$F$297,$B84,'Risk Register'!$D$5:$D$297,"Fremantle"))</f>
        <v>4</v>
      </c>
      <c r="I84" s="24">
        <f>COUNTIFS('Risk Register'!$F$5:$F$297,$B84,'Risk Register'!$U$5:$U$297,"High",'Risk Register'!$D$5:$D$297,"Fremantle")+COUNTIFS('Risk Register'!$F$5:$F$297,$B84,'Risk Register'!$U$5:$U$297,"Critical",'Risk Register'!$D$5:$D$297,"Fremantle")</f>
        <v>0</v>
      </c>
    </row>
    <row r="85" spans="1:9" x14ac:dyDescent="0.25">
      <c r="A85" s="22" t="s">
        <v>1335</v>
      </c>
      <c r="B85" s="23" t="s">
        <v>445</v>
      </c>
      <c r="C85" s="24">
        <f>COUNTIFS('Summary by Assessment'!$E$5:$E$101,$B85,'Summary by Assessment'!$C$5:$C$101,"Fremantle")</f>
        <v>2</v>
      </c>
      <c r="D85" s="24">
        <f>COUNTIFS('Risk Register'!$F$5:$F$297,$B85,'Risk Register'!$D$5:$D$297,"Fremantle")</f>
        <v>4</v>
      </c>
      <c r="E85" s="25">
        <f>IFERROR(AVERAGEIFS('Risk Register'!$O$5:$O$297,'Risk Register'!$F$5:$F$297,$B85,'Risk Register'!$D$5:$D$297,"Fremantle"),"-")</f>
        <v>7.25</v>
      </c>
      <c r="F85" s="25">
        <f>IFERROR(AVERAGEIFS('Risk Register'!$T$5:$T$297,'Risk Register'!$F$5:$F$297,$B85,'Risk Register'!$D$5:$D$297,"Fremantle"),"-")</f>
        <v>5.5</v>
      </c>
      <c r="G85" s="25">
        <f>IFERROR(AVERAGEIFS('Risk Register'!$V$5:$V$297,'Risk Register'!$F$5:$F$297,$B85,'Risk Register'!$D$5:$D$297,"Fremantle"),"-")</f>
        <v>1.75</v>
      </c>
      <c r="H85" s="24">
        <f>IF(D85=0,"-",_xlfn.MAXIFS('Risk Register'!$T$5:$T$297,'Risk Register'!$F$5:$F$297,$B85,'Risk Register'!$D$5:$D$297,"Fremantle"))</f>
        <v>8</v>
      </c>
      <c r="I85" s="24">
        <f>COUNTIFS('Risk Register'!$F$5:$F$297,$B85,'Risk Register'!$U$5:$U$297,"High",'Risk Register'!$D$5:$D$297,"Fremantle")+COUNTIFS('Risk Register'!$F$5:$F$297,$B85,'Risk Register'!$U$5:$U$297,"Critical",'Risk Register'!$D$5:$D$297,"Fremantle")</f>
        <v>0</v>
      </c>
    </row>
    <row r="86" spans="1:9" x14ac:dyDescent="0.25">
      <c r="A86" s="22"/>
      <c r="B86" s="26" t="s">
        <v>1336</v>
      </c>
      <c r="C86" s="27">
        <f>SUM(C79:C85)</f>
        <v>40</v>
      </c>
      <c r="D86" s="27">
        <f>SUM(D79:D85)</f>
        <v>132</v>
      </c>
      <c r="E86" s="28">
        <f>IFERROR(AVERAGEIFS('Risk Register'!$O$5:$O$297,'Risk Register'!$D$5:$D$297,"Fremantle"),"-")</f>
        <v>10.166666666666666</v>
      </c>
      <c r="F86" s="28">
        <f>IFERROR(AVERAGEIFS('Risk Register'!$T$5:$T$297,'Risk Register'!$D$5:$D$297,"Fremantle"),"-")</f>
        <v>5.6060606060606064</v>
      </c>
      <c r="G86" s="28">
        <f>IFERROR(AVERAGEIFS('Risk Register'!$V$5:$V$297,'Risk Register'!$D$5:$D$297,"Fremantle"),"-")</f>
        <v>4.5606060606060606</v>
      </c>
      <c r="H86" s="27">
        <f>_xlfn.MAXIFS('Risk Register'!$T$5:$T$297,'Risk Register'!$D$5:$D$297,"Fremantle")</f>
        <v>12</v>
      </c>
      <c r="I86" s="27">
        <f>SUM(I79:I85)</f>
        <v>7</v>
      </c>
    </row>
    <row r="89" spans="1:9" x14ac:dyDescent="0.25">
      <c r="A89" s="3" t="s">
        <v>1339</v>
      </c>
    </row>
  </sheetData>
  <conditionalFormatting sqref="E55:F62">
    <cfRule type="expression" dxfId="281" priority="2">
      <formula>AND(ISNUMBER(E55),E55&gt;=10)</formula>
    </cfRule>
    <cfRule type="expression" dxfId="280" priority="3">
      <formula>AND(ISNUMBER(E55),E55&gt;=5,E55&lt;10)</formula>
    </cfRule>
    <cfRule type="expression" dxfId="279" priority="4">
      <formula>AND(ISNUMBER(E55),E55&lt;5)</formula>
    </cfRule>
  </conditionalFormatting>
  <conditionalFormatting sqref="E67:F74">
    <cfRule type="expression" dxfId="278" priority="5">
      <formula>AND(ISNUMBER(E67),E67&gt;=10)</formula>
    </cfRule>
    <cfRule type="expression" dxfId="277" priority="6">
      <formula>AND(ISNUMBER(E67),E67&gt;=5,E67&lt;10)</formula>
    </cfRule>
    <cfRule type="expression" dxfId="276" priority="7">
      <formula>AND(ISNUMBER(E67),E67&lt;5)</formula>
    </cfRule>
  </conditionalFormatting>
  <conditionalFormatting sqref="E79:F86">
    <cfRule type="expression" dxfId="275" priority="8">
      <formula>AND(ISNUMBER(E79),E79&gt;=10)</formula>
    </cfRule>
    <cfRule type="expression" dxfId="274" priority="9">
      <formula>AND(ISNUMBER(E79),E79&gt;=5,E79&lt;10)</formula>
    </cfRule>
    <cfRule type="expression" dxfId="273" priority="10">
      <formula>AND(ISNUMBER(E79),E79&lt;5)</formula>
    </cfRule>
  </conditionalFormatting>
  <pageMargins left="0.75" right="0.75" top="1" bottom="1"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01"/>
  <sheetViews>
    <sheetView zoomScaleNormal="100" workbookViewId="0">
      <pane xSplit="4" ySplit="4" topLeftCell="E5" activePane="bottomRight" state="frozen"/>
      <selection pane="topRight" activeCell="E1" sqref="E1"/>
      <selection pane="bottomLeft" activeCell="A5" sqref="A5"/>
      <selection pane="bottomRight"/>
    </sheetView>
  </sheetViews>
  <sheetFormatPr defaultColWidth="8.7109375" defaultRowHeight="15" x14ac:dyDescent="0.25"/>
  <cols>
    <col min="1" max="1" width="7" customWidth="1"/>
    <col min="2" max="2" width="11" customWidth="1"/>
    <col min="3" max="3" width="12" customWidth="1"/>
    <col min="4" max="4" width="50" customWidth="1"/>
    <col min="5" max="5" width="30" customWidth="1"/>
    <col min="6" max="6" width="22" customWidth="1"/>
    <col min="7" max="7" width="11" customWidth="1"/>
    <col min="8" max="8" width="10" customWidth="1"/>
    <col min="9" max="10" width="11" customWidth="1"/>
    <col min="11" max="11" width="12" customWidth="1"/>
    <col min="12" max="12" width="16" customWidth="1"/>
    <col min="13" max="13" width="22" customWidth="1"/>
    <col min="14" max="14" width="13" customWidth="1"/>
    <col min="15" max="15" width="20" customWidth="1"/>
    <col min="16" max="16" width="12" customWidth="1"/>
    <col min="17" max="17" width="24" customWidth="1"/>
  </cols>
  <sheetData>
    <row r="1" spans="1:17" ht="18" x14ac:dyDescent="0.25">
      <c r="A1" s="2" t="s">
        <v>1340</v>
      </c>
    </row>
    <row r="2" spans="1:17" x14ac:dyDescent="0.25">
      <c r="A2" s="3" t="s">
        <v>1341</v>
      </c>
    </row>
    <row r="4" spans="1:17" ht="42" customHeight="1" x14ac:dyDescent="0.25">
      <c r="A4" s="5" t="s">
        <v>1304</v>
      </c>
      <c r="B4" s="5" t="s">
        <v>5</v>
      </c>
      <c r="C4" s="5" t="s">
        <v>6</v>
      </c>
      <c r="D4" s="5" t="s">
        <v>1307</v>
      </c>
      <c r="E4" s="5" t="s">
        <v>8</v>
      </c>
      <c r="F4" s="5" t="s">
        <v>9</v>
      </c>
      <c r="G4" s="5" t="s">
        <v>10</v>
      </c>
      <c r="H4" s="5" t="s">
        <v>1342</v>
      </c>
      <c r="I4" s="5" t="s">
        <v>1343</v>
      </c>
      <c r="J4" s="5" t="s">
        <v>1344</v>
      </c>
      <c r="K4" s="5" t="s">
        <v>1345</v>
      </c>
      <c r="L4" s="5" t="s">
        <v>1346</v>
      </c>
      <c r="M4" s="5" t="s">
        <v>1347</v>
      </c>
      <c r="N4" s="5" t="s">
        <v>1348</v>
      </c>
      <c r="O4" s="5" t="s">
        <v>1349</v>
      </c>
      <c r="P4" s="5" t="s">
        <v>1350</v>
      </c>
      <c r="Q4" s="5" t="s">
        <v>1351</v>
      </c>
    </row>
    <row r="5" spans="1:17" ht="25.5" x14ac:dyDescent="0.25">
      <c r="A5" s="7">
        <f t="shared" ref="A5:A36" si="0">COUNTIF($J$5:$J$101,"&gt;"&amp;J5)+1</f>
        <v>1</v>
      </c>
      <c r="B5" s="7" t="s">
        <v>34</v>
      </c>
      <c r="C5" s="10" t="s">
        <v>1337</v>
      </c>
      <c r="D5" s="9" t="s">
        <v>35</v>
      </c>
      <c r="E5" s="9" t="s">
        <v>36</v>
      </c>
      <c r="F5" s="9" t="s">
        <v>37</v>
      </c>
      <c r="G5" s="7" t="s">
        <v>38</v>
      </c>
      <c r="H5" s="8">
        <f>COUNTIF('Risk Register'!$C$5:$C$297,B5)</f>
        <v>3</v>
      </c>
      <c r="I5" s="8">
        <f>_xlfn.MAXIFS('Risk Register'!$O$5:$O$297,'Risk Register'!$C$5:$C$297,B5)</f>
        <v>15</v>
      </c>
      <c r="J5" s="8">
        <f>_xlfn.MAXIFS('Risk Register'!$T$5:$T$297,'Risk Register'!$C$5:$C$297,B5)</f>
        <v>12</v>
      </c>
      <c r="K5" s="8" t="str">
        <f>IF(COUNTIFS('Risk Register'!$C$5:$C$297,B5,'Risk Register'!$U$5:$U$297,"Critical"),"Critical",IF(COUNTIFS('Risk Register'!$C$5:$C$297,B5,'Risk Register'!$U$5:$U$297,"High"),"High",IF(COUNTIFS('Risk Register'!$C$5:$C$297,B5,'Risk Register'!$U$5:$U$297,"Moderate"),"Moderate",IF(COUNTIFS('Risk Register'!$C$5:$C$297,B5,'Risk Register'!$U$5:$U$297,"Low"),"Low","Very Low"))))</f>
        <v>High</v>
      </c>
      <c r="L5" s="7" t="s">
        <v>134</v>
      </c>
      <c r="M5" s="9" t="str">
        <f t="shared" ref="M5:M36" si="1">IF(L5="","No value",IF(IFERROR(VALUE(TRIM(MID(L5,FIND(" - ",L5)+3,3))),-1)=J5,"Matches","Differs - form states "&amp;TRIM(MID(L5,FIND(" - ",L5)+3,3))))</f>
        <v>Differs - form states 10</v>
      </c>
      <c r="N5" s="7" t="s">
        <v>1352</v>
      </c>
      <c r="O5" s="9" t="s">
        <v>97</v>
      </c>
      <c r="P5" s="7" t="s">
        <v>38</v>
      </c>
      <c r="Q5" s="9" t="s">
        <v>97</v>
      </c>
    </row>
    <row r="6" spans="1:17" ht="38.25" x14ac:dyDescent="0.25">
      <c r="A6" s="7">
        <f t="shared" si="0"/>
        <v>1</v>
      </c>
      <c r="B6" s="7" t="s">
        <v>48</v>
      </c>
      <c r="C6" s="10" t="s">
        <v>1338</v>
      </c>
      <c r="D6" s="9" t="s">
        <v>49</v>
      </c>
      <c r="E6" s="9" t="s">
        <v>50</v>
      </c>
      <c r="F6" s="9" t="s">
        <v>51</v>
      </c>
      <c r="G6" s="7" t="s">
        <v>52</v>
      </c>
      <c r="H6" s="8">
        <f>COUNTIF('Risk Register'!$C$5:$C$297,B6)</f>
        <v>3</v>
      </c>
      <c r="I6" s="8">
        <f>_xlfn.MAXIFS('Risk Register'!$O$5:$O$297,'Risk Register'!$C$5:$C$297,B6)</f>
        <v>12</v>
      </c>
      <c r="J6" s="8">
        <f>_xlfn.MAXIFS('Risk Register'!$T$5:$T$297,'Risk Register'!$C$5:$C$297,B6)</f>
        <v>12</v>
      </c>
      <c r="K6" s="8" t="str">
        <f>IF(COUNTIFS('Risk Register'!$C$5:$C$297,B6,'Risk Register'!$U$5:$U$297,"Critical"),"Critical",IF(COUNTIFS('Risk Register'!$C$5:$C$297,B6,'Risk Register'!$U$5:$U$297,"High"),"High",IF(COUNTIFS('Risk Register'!$C$5:$C$297,B6,'Risk Register'!$U$5:$U$297,"Moderate"),"Moderate",IF(COUNTIFS('Risk Register'!$C$5:$C$297,B6,'Risk Register'!$U$5:$U$297,"Low"),"Low","Very Low"))))</f>
        <v>High</v>
      </c>
      <c r="L6" s="7" t="s">
        <v>46</v>
      </c>
      <c r="M6" s="9" t="str">
        <f t="shared" si="1"/>
        <v>Matches</v>
      </c>
      <c r="N6" s="7" t="s">
        <v>1352</v>
      </c>
      <c r="O6" s="9" t="s">
        <v>883</v>
      </c>
      <c r="P6" s="7" t="s">
        <v>71</v>
      </c>
      <c r="Q6" s="9" t="s">
        <v>1353</v>
      </c>
    </row>
    <row r="7" spans="1:17" ht="38.25" x14ac:dyDescent="0.25">
      <c r="A7" s="7">
        <f t="shared" si="0"/>
        <v>1</v>
      </c>
      <c r="B7" s="7" t="s">
        <v>69</v>
      </c>
      <c r="C7" s="10" t="s">
        <v>1338</v>
      </c>
      <c r="D7" s="9" t="s">
        <v>70</v>
      </c>
      <c r="E7" s="9" t="s">
        <v>50</v>
      </c>
      <c r="F7" s="9" t="s">
        <v>51</v>
      </c>
      <c r="G7" s="7" t="s">
        <v>71</v>
      </c>
      <c r="H7" s="8">
        <f>COUNTIF('Risk Register'!$C$5:$C$297,B7)</f>
        <v>3</v>
      </c>
      <c r="I7" s="8">
        <f>_xlfn.MAXIFS('Risk Register'!$O$5:$O$297,'Risk Register'!$C$5:$C$297,B7)</f>
        <v>12</v>
      </c>
      <c r="J7" s="8">
        <f>_xlfn.MAXIFS('Risk Register'!$T$5:$T$297,'Risk Register'!$C$5:$C$297,B7)</f>
        <v>12</v>
      </c>
      <c r="K7" s="8" t="str">
        <f>IF(COUNTIFS('Risk Register'!$C$5:$C$297,B7,'Risk Register'!$U$5:$U$297,"Critical"),"Critical",IF(COUNTIFS('Risk Register'!$C$5:$C$297,B7,'Risk Register'!$U$5:$U$297,"High"),"High",IF(COUNTIFS('Risk Register'!$C$5:$C$297,B7,'Risk Register'!$U$5:$U$297,"Moderate"),"Moderate",IF(COUNTIFS('Risk Register'!$C$5:$C$297,B7,'Risk Register'!$U$5:$U$297,"Low"),"Low","Very Low"))))</f>
        <v>High</v>
      </c>
      <c r="L7" s="7" t="s">
        <v>87</v>
      </c>
      <c r="M7" s="9" t="str">
        <f t="shared" si="1"/>
        <v>Differs - form states 10</v>
      </c>
      <c r="N7" s="7" t="s">
        <v>1352</v>
      </c>
      <c r="O7" s="9" t="s">
        <v>883</v>
      </c>
      <c r="P7" s="7" t="s">
        <v>71</v>
      </c>
      <c r="Q7" s="9" t="s">
        <v>1354</v>
      </c>
    </row>
    <row r="8" spans="1:17" ht="38.25" x14ac:dyDescent="0.25">
      <c r="A8" s="7">
        <f t="shared" si="0"/>
        <v>1</v>
      </c>
      <c r="B8" s="7" t="s">
        <v>78</v>
      </c>
      <c r="C8" s="10" t="s">
        <v>1337</v>
      </c>
      <c r="D8" s="9" t="s">
        <v>70</v>
      </c>
      <c r="E8" s="9" t="s">
        <v>50</v>
      </c>
      <c r="F8" s="9" t="s">
        <v>51</v>
      </c>
      <c r="G8" s="7" t="s">
        <v>52</v>
      </c>
      <c r="H8" s="8">
        <f>COUNTIF('Risk Register'!$C$5:$C$297,B8)</f>
        <v>3</v>
      </c>
      <c r="I8" s="8">
        <f>_xlfn.MAXIFS('Risk Register'!$O$5:$O$297,'Risk Register'!$C$5:$C$297,B8)</f>
        <v>12</v>
      </c>
      <c r="J8" s="8">
        <f>_xlfn.MAXIFS('Risk Register'!$T$5:$T$297,'Risk Register'!$C$5:$C$297,B8)</f>
        <v>12</v>
      </c>
      <c r="K8" s="8" t="str">
        <f>IF(COUNTIFS('Risk Register'!$C$5:$C$297,B8,'Risk Register'!$U$5:$U$297,"Critical"),"Critical",IF(COUNTIFS('Risk Register'!$C$5:$C$297,B8,'Risk Register'!$U$5:$U$297,"High"),"High",IF(COUNTIFS('Risk Register'!$C$5:$C$297,B8,'Risk Register'!$U$5:$U$297,"Moderate"),"Moderate",IF(COUNTIFS('Risk Register'!$C$5:$C$297,B8,'Risk Register'!$U$5:$U$297,"Low"),"Low","Very Low"))))</f>
        <v>High</v>
      </c>
      <c r="L8" s="7" t="s">
        <v>87</v>
      </c>
      <c r="M8" s="9" t="str">
        <f t="shared" si="1"/>
        <v>Differs - form states 10</v>
      </c>
      <c r="N8" s="7" t="s">
        <v>1352</v>
      </c>
      <c r="O8" s="9" t="s">
        <v>883</v>
      </c>
      <c r="P8" s="7" t="s">
        <v>71</v>
      </c>
      <c r="Q8" s="9" t="s">
        <v>1354</v>
      </c>
    </row>
    <row r="9" spans="1:17" ht="25.5" x14ac:dyDescent="0.25">
      <c r="A9" s="7">
        <f t="shared" si="0"/>
        <v>1</v>
      </c>
      <c r="B9" s="7" t="s">
        <v>60</v>
      </c>
      <c r="C9" s="10" t="s">
        <v>1337</v>
      </c>
      <c r="D9" s="9" t="s">
        <v>61</v>
      </c>
      <c r="E9" s="9" t="s">
        <v>36</v>
      </c>
      <c r="F9" s="9" t="s">
        <v>51</v>
      </c>
      <c r="G9" s="7" t="s">
        <v>52</v>
      </c>
      <c r="H9" s="8">
        <f>COUNTIF('Risk Register'!$C$5:$C$297,B9)</f>
        <v>5</v>
      </c>
      <c r="I9" s="8">
        <f>_xlfn.MAXIFS('Risk Register'!$O$5:$O$297,'Risk Register'!$C$5:$C$297,B9)</f>
        <v>12</v>
      </c>
      <c r="J9" s="8">
        <f>_xlfn.MAXIFS('Risk Register'!$T$5:$T$297,'Risk Register'!$C$5:$C$297,B9)</f>
        <v>12</v>
      </c>
      <c r="K9" s="8" t="str">
        <f>IF(COUNTIFS('Risk Register'!$C$5:$C$297,B9,'Risk Register'!$U$5:$U$297,"Critical"),"Critical",IF(COUNTIFS('Risk Register'!$C$5:$C$297,B9,'Risk Register'!$U$5:$U$297,"High"),"High",IF(COUNTIFS('Risk Register'!$C$5:$C$297,B9,'Risk Register'!$U$5:$U$297,"Moderate"),"Moderate",IF(COUNTIFS('Risk Register'!$C$5:$C$297,B9,'Risk Register'!$U$5:$U$297,"Low"),"Low","Very Low"))))</f>
        <v>High</v>
      </c>
      <c r="L9" s="7" t="s">
        <v>46</v>
      </c>
      <c r="M9" s="9" t="str">
        <f t="shared" si="1"/>
        <v>Matches</v>
      </c>
      <c r="N9" s="7" t="s">
        <v>1352</v>
      </c>
      <c r="O9" s="9" t="s">
        <v>883</v>
      </c>
      <c r="P9" s="7" t="s">
        <v>1355</v>
      </c>
      <c r="Q9" s="9" t="s">
        <v>1356</v>
      </c>
    </row>
    <row r="10" spans="1:17" ht="38.25" x14ac:dyDescent="0.25">
      <c r="A10" s="7">
        <f t="shared" si="0"/>
        <v>6</v>
      </c>
      <c r="B10" s="7" t="s">
        <v>89</v>
      </c>
      <c r="C10" s="10" t="s">
        <v>1338</v>
      </c>
      <c r="D10" s="9" t="s">
        <v>90</v>
      </c>
      <c r="E10" s="9" t="s">
        <v>50</v>
      </c>
      <c r="F10" s="9" t="s">
        <v>51</v>
      </c>
      <c r="G10" s="7" t="s">
        <v>91</v>
      </c>
      <c r="H10" s="8">
        <f>COUNTIF('Risk Register'!$C$5:$C$297,B10)</f>
        <v>5</v>
      </c>
      <c r="I10" s="8">
        <f>_xlfn.MAXIFS('Risk Register'!$O$5:$O$297,'Risk Register'!$C$5:$C$297,B10)</f>
        <v>16</v>
      </c>
      <c r="J10" s="8">
        <f>_xlfn.MAXIFS('Risk Register'!$T$5:$T$297,'Risk Register'!$C$5:$C$297,B10)</f>
        <v>10</v>
      </c>
      <c r="K10" s="8" t="str">
        <f>IF(COUNTIFS('Risk Register'!$C$5:$C$297,B10,'Risk Register'!$U$5:$U$297,"Critical"),"Critical",IF(COUNTIFS('Risk Register'!$C$5:$C$297,B10,'Risk Register'!$U$5:$U$297,"High"),"High",IF(COUNTIFS('Risk Register'!$C$5:$C$297,B10,'Risk Register'!$U$5:$U$297,"Moderate"),"Moderate",IF(COUNTIFS('Risk Register'!$C$5:$C$297,B10,'Risk Register'!$U$5:$U$297,"Low"),"Low","Very Low"))))</f>
        <v>High</v>
      </c>
      <c r="L10" s="7" t="s">
        <v>742</v>
      </c>
      <c r="M10" s="9" t="str">
        <f t="shared" si="1"/>
        <v>Differs - form states 4</v>
      </c>
      <c r="N10" s="7" t="s">
        <v>1352</v>
      </c>
      <c r="O10" s="9" t="s">
        <v>97</v>
      </c>
      <c r="P10" s="7" t="s">
        <v>112</v>
      </c>
      <c r="Q10" s="9" t="s">
        <v>1357</v>
      </c>
    </row>
    <row r="11" spans="1:17" ht="38.25" x14ac:dyDescent="0.25">
      <c r="A11" s="7">
        <f t="shared" si="0"/>
        <v>6</v>
      </c>
      <c r="B11" s="7" t="s">
        <v>107</v>
      </c>
      <c r="C11" s="10" t="s">
        <v>1338</v>
      </c>
      <c r="D11" s="9" t="s">
        <v>108</v>
      </c>
      <c r="E11" s="9" t="s">
        <v>50</v>
      </c>
      <c r="F11" s="9" t="s">
        <v>51</v>
      </c>
      <c r="G11" s="7" t="s">
        <v>101</v>
      </c>
      <c r="H11" s="8">
        <f>COUNTIF('Risk Register'!$C$5:$C$297,B11)</f>
        <v>5</v>
      </c>
      <c r="I11" s="8">
        <f>_xlfn.MAXIFS('Risk Register'!$O$5:$O$297,'Risk Register'!$C$5:$C$297,B11)</f>
        <v>16</v>
      </c>
      <c r="J11" s="8">
        <f>_xlfn.MAXIFS('Risk Register'!$T$5:$T$297,'Risk Register'!$C$5:$C$297,B11)</f>
        <v>10</v>
      </c>
      <c r="K11" s="8" t="str">
        <f>IF(COUNTIFS('Risk Register'!$C$5:$C$297,B11,'Risk Register'!$U$5:$U$297,"Critical"),"Critical",IF(COUNTIFS('Risk Register'!$C$5:$C$297,B11,'Risk Register'!$U$5:$U$297,"High"),"High",IF(COUNTIFS('Risk Register'!$C$5:$C$297,B11,'Risk Register'!$U$5:$U$297,"Moderate"),"Moderate",IF(COUNTIFS('Risk Register'!$C$5:$C$297,B11,'Risk Register'!$U$5:$U$297,"Low"),"Low","Very Low"))))</f>
        <v>High</v>
      </c>
      <c r="L11" s="7" t="s">
        <v>742</v>
      </c>
      <c r="M11" s="9" t="str">
        <f t="shared" si="1"/>
        <v>Differs - form states 4</v>
      </c>
      <c r="N11" s="7" t="s">
        <v>1352</v>
      </c>
      <c r="O11" s="9" t="s">
        <v>883</v>
      </c>
      <c r="P11" s="7" t="s">
        <v>101</v>
      </c>
      <c r="Q11" s="9" t="s">
        <v>1358</v>
      </c>
    </row>
    <row r="12" spans="1:17" ht="38.25" x14ac:dyDescent="0.25">
      <c r="A12" s="7">
        <f t="shared" si="0"/>
        <v>6</v>
      </c>
      <c r="B12" s="7" t="s">
        <v>110</v>
      </c>
      <c r="C12" s="10" t="s">
        <v>1337</v>
      </c>
      <c r="D12" s="9" t="s">
        <v>111</v>
      </c>
      <c r="E12" s="9" t="s">
        <v>50</v>
      </c>
      <c r="F12" s="9" t="s">
        <v>51</v>
      </c>
      <c r="G12" s="7" t="s">
        <v>112</v>
      </c>
      <c r="H12" s="8">
        <f>COUNTIF('Risk Register'!$C$5:$C$297,B12)</f>
        <v>5</v>
      </c>
      <c r="I12" s="8">
        <f>_xlfn.MAXIFS('Risk Register'!$O$5:$O$297,'Risk Register'!$C$5:$C$297,B12)</f>
        <v>16</v>
      </c>
      <c r="J12" s="8">
        <f>_xlfn.MAXIFS('Risk Register'!$T$5:$T$297,'Risk Register'!$C$5:$C$297,B12)</f>
        <v>10</v>
      </c>
      <c r="K12" s="8" t="str">
        <f>IF(COUNTIFS('Risk Register'!$C$5:$C$297,B12,'Risk Register'!$U$5:$U$297,"Critical"),"Critical",IF(COUNTIFS('Risk Register'!$C$5:$C$297,B12,'Risk Register'!$U$5:$U$297,"High"),"High",IF(COUNTIFS('Risk Register'!$C$5:$C$297,B12,'Risk Register'!$U$5:$U$297,"Moderate"),"Moderate",IF(COUNTIFS('Risk Register'!$C$5:$C$297,B12,'Risk Register'!$U$5:$U$297,"Low"),"Low","Very Low"))))</f>
        <v>High</v>
      </c>
      <c r="L12" s="7" t="s">
        <v>847</v>
      </c>
      <c r="M12" s="9" t="str">
        <f t="shared" si="1"/>
        <v>Differs - form states 4</v>
      </c>
      <c r="N12" s="7" t="s">
        <v>1352</v>
      </c>
      <c r="O12" s="9" t="s">
        <v>97</v>
      </c>
      <c r="P12" s="7" t="s">
        <v>112</v>
      </c>
      <c r="Q12" s="9" t="s">
        <v>1357</v>
      </c>
    </row>
    <row r="13" spans="1:17" ht="38.25" x14ac:dyDescent="0.25">
      <c r="A13" s="7">
        <f t="shared" si="0"/>
        <v>6</v>
      </c>
      <c r="B13" s="7" t="s">
        <v>119</v>
      </c>
      <c r="C13" s="10" t="s">
        <v>1337</v>
      </c>
      <c r="D13" s="9" t="s">
        <v>120</v>
      </c>
      <c r="E13" s="9" t="s">
        <v>50</v>
      </c>
      <c r="F13" s="9" t="s">
        <v>51</v>
      </c>
      <c r="G13" s="7" t="s">
        <v>112</v>
      </c>
      <c r="H13" s="8">
        <f>COUNTIF('Risk Register'!$C$5:$C$297,B13)</f>
        <v>5</v>
      </c>
      <c r="I13" s="8">
        <f>_xlfn.MAXIFS('Risk Register'!$O$5:$O$297,'Risk Register'!$C$5:$C$297,B13)</f>
        <v>16</v>
      </c>
      <c r="J13" s="8">
        <f>_xlfn.MAXIFS('Risk Register'!$T$5:$T$297,'Risk Register'!$C$5:$C$297,B13)</f>
        <v>10</v>
      </c>
      <c r="K13" s="8" t="str">
        <f>IF(COUNTIFS('Risk Register'!$C$5:$C$297,B13,'Risk Register'!$U$5:$U$297,"Critical"),"Critical",IF(COUNTIFS('Risk Register'!$C$5:$C$297,B13,'Risk Register'!$U$5:$U$297,"High"),"High",IF(COUNTIFS('Risk Register'!$C$5:$C$297,B13,'Risk Register'!$U$5:$U$297,"Moderate"),"Moderate",IF(COUNTIFS('Risk Register'!$C$5:$C$297,B13,'Risk Register'!$U$5:$U$297,"Low"),"Low","Very Low"))))</f>
        <v>High</v>
      </c>
      <c r="L13" s="7" t="s">
        <v>742</v>
      </c>
      <c r="M13" s="9" t="str">
        <f t="shared" si="1"/>
        <v>Differs - form states 4</v>
      </c>
      <c r="N13" s="7" t="s">
        <v>1352</v>
      </c>
      <c r="O13" s="9" t="s">
        <v>97</v>
      </c>
      <c r="P13" s="7" t="s">
        <v>112</v>
      </c>
      <c r="Q13" s="9" t="s">
        <v>1357</v>
      </c>
    </row>
    <row r="14" spans="1:17" ht="38.25" x14ac:dyDescent="0.25">
      <c r="A14" s="7">
        <f t="shared" si="0"/>
        <v>6</v>
      </c>
      <c r="B14" s="7" t="s">
        <v>80</v>
      </c>
      <c r="C14" s="10" t="s">
        <v>1338</v>
      </c>
      <c r="D14" s="9" t="s">
        <v>81</v>
      </c>
      <c r="E14" s="9" t="s">
        <v>50</v>
      </c>
      <c r="F14" s="9" t="s">
        <v>51</v>
      </c>
      <c r="G14" s="7" t="s">
        <v>71</v>
      </c>
      <c r="H14" s="8">
        <f>COUNTIF('Risk Register'!$C$5:$C$297,B14)</f>
        <v>3</v>
      </c>
      <c r="I14" s="8">
        <f>_xlfn.MAXIFS('Risk Register'!$O$5:$O$297,'Risk Register'!$C$5:$C$297,B14)</f>
        <v>15</v>
      </c>
      <c r="J14" s="8">
        <f>_xlfn.MAXIFS('Risk Register'!$T$5:$T$297,'Risk Register'!$C$5:$C$297,B14)</f>
        <v>10</v>
      </c>
      <c r="K14" s="8" t="str">
        <f>IF(COUNTIFS('Risk Register'!$C$5:$C$297,B14,'Risk Register'!$U$5:$U$297,"Critical"),"Critical",IF(COUNTIFS('Risk Register'!$C$5:$C$297,B14,'Risk Register'!$U$5:$U$297,"High"),"High",IF(COUNTIFS('Risk Register'!$C$5:$C$297,B14,'Risk Register'!$U$5:$U$297,"Moderate"),"Moderate",IF(COUNTIFS('Risk Register'!$C$5:$C$297,B14,'Risk Register'!$U$5:$U$297,"Low"),"Low","Very Low"))))</f>
        <v>High</v>
      </c>
      <c r="L14" s="7" t="s">
        <v>76</v>
      </c>
      <c r="M14" s="9" t="str">
        <f t="shared" si="1"/>
        <v>Differs - form states 9</v>
      </c>
      <c r="N14" s="7" t="s">
        <v>1352</v>
      </c>
      <c r="O14" s="9" t="s">
        <v>883</v>
      </c>
      <c r="P14" s="7" t="s">
        <v>71</v>
      </c>
      <c r="Q14" s="9" t="s">
        <v>1359</v>
      </c>
    </row>
    <row r="15" spans="1:17" ht="38.25" x14ac:dyDescent="0.25">
      <c r="A15" s="7">
        <f t="shared" si="0"/>
        <v>6</v>
      </c>
      <c r="B15" s="7" t="s">
        <v>99</v>
      </c>
      <c r="C15" s="10" t="s">
        <v>1338</v>
      </c>
      <c r="D15" s="9" t="s">
        <v>100</v>
      </c>
      <c r="E15" s="9" t="s">
        <v>50</v>
      </c>
      <c r="F15" s="9" t="s">
        <v>51</v>
      </c>
      <c r="G15" s="7" t="s">
        <v>101</v>
      </c>
      <c r="H15" s="8">
        <f>COUNTIF('Risk Register'!$C$5:$C$297,B15)</f>
        <v>5</v>
      </c>
      <c r="I15" s="8">
        <f>_xlfn.MAXIFS('Risk Register'!$O$5:$O$297,'Risk Register'!$C$5:$C$297,B15)</f>
        <v>15</v>
      </c>
      <c r="J15" s="8">
        <f>_xlfn.MAXIFS('Risk Register'!$T$5:$T$297,'Risk Register'!$C$5:$C$297,B15)</f>
        <v>10</v>
      </c>
      <c r="K15" s="8" t="str">
        <f>IF(COUNTIFS('Risk Register'!$C$5:$C$297,B15,'Risk Register'!$U$5:$U$297,"Critical"),"Critical",IF(COUNTIFS('Risk Register'!$C$5:$C$297,B15,'Risk Register'!$U$5:$U$297,"High"),"High",IF(COUNTIFS('Risk Register'!$C$5:$C$297,B15,'Risk Register'!$U$5:$U$297,"Moderate"),"Moderate",IF(COUNTIFS('Risk Register'!$C$5:$C$297,B15,'Risk Register'!$U$5:$U$297,"Low"),"Low","Very Low"))))</f>
        <v>High</v>
      </c>
      <c r="L15" s="7" t="s">
        <v>134</v>
      </c>
      <c r="M15" s="9" t="str">
        <f t="shared" si="1"/>
        <v>Matches</v>
      </c>
      <c r="N15" s="7" t="s">
        <v>1352</v>
      </c>
      <c r="O15" s="9" t="s">
        <v>883</v>
      </c>
      <c r="P15" s="7" t="s">
        <v>101</v>
      </c>
      <c r="Q15" s="9" t="s">
        <v>1360</v>
      </c>
    </row>
    <row r="16" spans="1:17" ht="38.25" x14ac:dyDescent="0.25">
      <c r="A16" s="7">
        <f t="shared" si="0"/>
        <v>6</v>
      </c>
      <c r="B16" s="7" t="s">
        <v>117</v>
      </c>
      <c r="C16" s="10" t="s">
        <v>1337</v>
      </c>
      <c r="D16" s="9" t="s">
        <v>81</v>
      </c>
      <c r="E16" s="9" t="s">
        <v>50</v>
      </c>
      <c r="F16" s="9" t="s">
        <v>51</v>
      </c>
      <c r="G16" s="7" t="s">
        <v>52</v>
      </c>
      <c r="H16" s="8">
        <f>COUNTIF('Risk Register'!$C$5:$C$297,B16)</f>
        <v>4</v>
      </c>
      <c r="I16" s="8">
        <f>_xlfn.MAXIFS('Risk Register'!$O$5:$O$297,'Risk Register'!$C$5:$C$297,B16)</f>
        <v>15</v>
      </c>
      <c r="J16" s="8">
        <f>_xlfn.MAXIFS('Risk Register'!$T$5:$T$297,'Risk Register'!$C$5:$C$297,B16)</f>
        <v>10</v>
      </c>
      <c r="K16" s="8" t="str">
        <f>IF(COUNTIFS('Risk Register'!$C$5:$C$297,B16,'Risk Register'!$U$5:$U$297,"Critical"),"Critical",IF(COUNTIFS('Risk Register'!$C$5:$C$297,B16,'Risk Register'!$U$5:$U$297,"High"),"High",IF(COUNTIFS('Risk Register'!$C$5:$C$297,B16,'Risk Register'!$U$5:$U$297,"Moderate"),"Moderate",IF(COUNTIFS('Risk Register'!$C$5:$C$297,B16,'Risk Register'!$U$5:$U$297,"Low"),"Low","Very Low"))))</f>
        <v>High</v>
      </c>
      <c r="L16" s="7" t="s">
        <v>76</v>
      </c>
      <c r="M16" s="9" t="str">
        <f t="shared" si="1"/>
        <v>Differs - form states 9</v>
      </c>
      <c r="N16" s="7" t="s">
        <v>1352</v>
      </c>
      <c r="O16" s="9" t="s">
        <v>883</v>
      </c>
      <c r="P16" s="7" t="s">
        <v>71</v>
      </c>
      <c r="Q16" s="9" t="s">
        <v>1359</v>
      </c>
    </row>
    <row r="17" spans="1:17" ht="38.25" x14ac:dyDescent="0.25">
      <c r="A17" s="7">
        <f t="shared" si="0"/>
        <v>6</v>
      </c>
      <c r="B17" s="7" t="s">
        <v>122</v>
      </c>
      <c r="C17" s="10" t="s">
        <v>1337</v>
      </c>
      <c r="D17" s="9" t="s">
        <v>123</v>
      </c>
      <c r="E17" s="9" t="s">
        <v>50</v>
      </c>
      <c r="F17" s="9" t="s">
        <v>51</v>
      </c>
      <c r="G17" s="7" t="s">
        <v>112</v>
      </c>
      <c r="H17" s="8">
        <f>COUNTIF('Risk Register'!$C$5:$C$297,B17)</f>
        <v>5</v>
      </c>
      <c r="I17" s="8">
        <f>_xlfn.MAXIFS('Risk Register'!$O$5:$O$297,'Risk Register'!$C$5:$C$297,B17)</f>
        <v>15</v>
      </c>
      <c r="J17" s="8">
        <f>_xlfn.MAXIFS('Risk Register'!$T$5:$T$297,'Risk Register'!$C$5:$C$297,B17)</f>
        <v>10</v>
      </c>
      <c r="K17" s="8" t="str">
        <f>IF(COUNTIFS('Risk Register'!$C$5:$C$297,B17,'Risk Register'!$U$5:$U$297,"Critical"),"Critical",IF(COUNTIFS('Risk Register'!$C$5:$C$297,B17,'Risk Register'!$U$5:$U$297,"High"),"High",IF(COUNTIFS('Risk Register'!$C$5:$C$297,B17,'Risk Register'!$U$5:$U$297,"Moderate"),"Moderate",IF(COUNTIFS('Risk Register'!$C$5:$C$297,B17,'Risk Register'!$U$5:$U$297,"Low"),"Low","Very Low"))))</f>
        <v>High</v>
      </c>
      <c r="L17" s="7" t="s">
        <v>134</v>
      </c>
      <c r="M17" s="9" t="str">
        <f t="shared" si="1"/>
        <v>Matches</v>
      </c>
      <c r="N17" s="7" t="s">
        <v>1352</v>
      </c>
      <c r="O17" s="9" t="s">
        <v>1361</v>
      </c>
      <c r="P17" s="7" t="s">
        <v>112</v>
      </c>
      <c r="Q17" s="9" t="s">
        <v>1362</v>
      </c>
    </row>
    <row r="18" spans="1:17" ht="25.5" x14ac:dyDescent="0.25">
      <c r="A18" s="7">
        <f t="shared" si="0"/>
        <v>14</v>
      </c>
      <c r="B18" s="7" t="s">
        <v>136</v>
      </c>
      <c r="C18" s="10" t="s">
        <v>1338</v>
      </c>
      <c r="D18" s="9" t="s">
        <v>137</v>
      </c>
      <c r="E18" s="9" t="s">
        <v>36</v>
      </c>
      <c r="F18" s="9" t="s">
        <v>51</v>
      </c>
      <c r="G18" s="7" t="s">
        <v>71</v>
      </c>
      <c r="H18" s="8">
        <f>COUNTIF('Risk Register'!$C$5:$C$297,B18)</f>
        <v>3</v>
      </c>
      <c r="I18" s="8">
        <f>_xlfn.MAXIFS('Risk Register'!$O$5:$O$297,'Risk Register'!$C$5:$C$297,B18)</f>
        <v>16</v>
      </c>
      <c r="J18" s="8">
        <f>_xlfn.MAXIFS('Risk Register'!$T$5:$T$297,'Risk Register'!$C$5:$C$297,B18)</f>
        <v>9</v>
      </c>
      <c r="K18" s="8" t="str">
        <f>IF(COUNTIFS('Risk Register'!$C$5:$C$297,B18,'Risk Register'!$U$5:$U$297,"Critical"),"Critical",IF(COUNTIFS('Risk Register'!$C$5:$C$297,B18,'Risk Register'!$U$5:$U$297,"High"),"High",IF(COUNTIFS('Risk Register'!$C$5:$C$297,B18,'Risk Register'!$U$5:$U$297,"Moderate"),"Moderate",IF(COUNTIFS('Risk Register'!$C$5:$C$297,B18,'Risk Register'!$U$5:$U$297,"Low"),"Low","Very Low"))))</f>
        <v>Moderate</v>
      </c>
      <c r="L18" s="7" t="s">
        <v>76</v>
      </c>
      <c r="M18" s="9" t="str">
        <f t="shared" si="1"/>
        <v>Matches</v>
      </c>
      <c r="N18" s="7" t="s">
        <v>1352</v>
      </c>
      <c r="O18" s="9" t="s">
        <v>883</v>
      </c>
      <c r="P18" s="7" t="s">
        <v>71</v>
      </c>
      <c r="Q18" s="9" t="s">
        <v>1363</v>
      </c>
    </row>
    <row r="19" spans="1:17" ht="25.5" x14ac:dyDescent="0.25">
      <c r="A19" s="7">
        <f t="shared" si="0"/>
        <v>14</v>
      </c>
      <c r="B19" s="7" t="s">
        <v>274</v>
      </c>
      <c r="C19" s="10" t="s">
        <v>1338</v>
      </c>
      <c r="D19" s="9" t="s">
        <v>275</v>
      </c>
      <c r="E19" s="9" t="s">
        <v>36</v>
      </c>
      <c r="F19" s="9" t="s">
        <v>51</v>
      </c>
      <c r="G19" s="7" t="s">
        <v>71</v>
      </c>
      <c r="H19" s="8">
        <f>COUNTIF('Risk Register'!$C$5:$C$297,B19)</f>
        <v>5</v>
      </c>
      <c r="I19" s="8">
        <f>_xlfn.MAXIFS('Risk Register'!$O$5:$O$297,'Risk Register'!$C$5:$C$297,B19)</f>
        <v>16</v>
      </c>
      <c r="J19" s="8">
        <f>_xlfn.MAXIFS('Risk Register'!$T$5:$T$297,'Risk Register'!$C$5:$C$297,B19)</f>
        <v>9</v>
      </c>
      <c r="K19" s="8" t="str">
        <f>IF(COUNTIFS('Risk Register'!$C$5:$C$297,B19,'Risk Register'!$U$5:$U$297,"Critical"),"Critical",IF(COUNTIFS('Risk Register'!$C$5:$C$297,B19,'Risk Register'!$U$5:$U$297,"High"),"High",IF(COUNTIFS('Risk Register'!$C$5:$C$297,B19,'Risk Register'!$U$5:$U$297,"Moderate"),"Moderate",IF(COUNTIFS('Risk Register'!$C$5:$C$297,B19,'Risk Register'!$U$5:$U$297,"Low"),"Low","Very Low"))))</f>
        <v>Moderate</v>
      </c>
      <c r="L19" s="7" t="s">
        <v>76</v>
      </c>
      <c r="M19" s="9" t="str">
        <f t="shared" si="1"/>
        <v>Matches</v>
      </c>
      <c r="N19" s="7" t="s">
        <v>1352</v>
      </c>
      <c r="O19" s="9" t="s">
        <v>1364</v>
      </c>
      <c r="P19" s="7" t="s">
        <v>1365</v>
      </c>
      <c r="Q19" s="9" t="s">
        <v>1366</v>
      </c>
    </row>
    <row r="20" spans="1:17" ht="38.25" x14ac:dyDescent="0.25">
      <c r="A20" s="7">
        <f t="shared" si="0"/>
        <v>14</v>
      </c>
      <c r="B20" s="7" t="s">
        <v>144</v>
      </c>
      <c r="C20" s="10" t="s">
        <v>1338</v>
      </c>
      <c r="D20" s="9" t="s">
        <v>145</v>
      </c>
      <c r="E20" s="9" t="s">
        <v>50</v>
      </c>
      <c r="F20" s="9" t="s">
        <v>51</v>
      </c>
      <c r="G20" s="7" t="s">
        <v>71</v>
      </c>
      <c r="H20" s="8">
        <f>COUNTIF('Risk Register'!$C$5:$C$297,B20)</f>
        <v>2</v>
      </c>
      <c r="I20" s="8">
        <f>_xlfn.MAXIFS('Risk Register'!$O$5:$O$297,'Risk Register'!$C$5:$C$297,B20)</f>
        <v>16</v>
      </c>
      <c r="J20" s="8">
        <f>_xlfn.MAXIFS('Risk Register'!$T$5:$T$297,'Risk Register'!$C$5:$C$297,B20)</f>
        <v>9</v>
      </c>
      <c r="K20" s="8" t="str">
        <f>IF(COUNTIFS('Risk Register'!$C$5:$C$297,B20,'Risk Register'!$U$5:$U$297,"Critical"),"Critical",IF(COUNTIFS('Risk Register'!$C$5:$C$297,B20,'Risk Register'!$U$5:$U$297,"High"),"High",IF(COUNTIFS('Risk Register'!$C$5:$C$297,B20,'Risk Register'!$U$5:$U$297,"Moderate"),"Moderate",IF(COUNTIFS('Risk Register'!$C$5:$C$297,B20,'Risk Register'!$U$5:$U$297,"Low"),"Low","Very Low"))))</f>
        <v>Moderate</v>
      </c>
      <c r="L20" s="7" t="s">
        <v>76</v>
      </c>
      <c r="M20" s="9" t="str">
        <f t="shared" si="1"/>
        <v>Matches</v>
      </c>
      <c r="N20" s="7" t="s">
        <v>1352</v>
      </c>
      <c r="O20" s="9" t="s">
        <v>883</v>
      </c>
      <c r="P20" s="7" t="s">
        <v>71</v>
      </c>
      <c r="Q20" s="9" t="s">
        <v>1367</v>
      </c>
    </row>
    <row r="21" spans="1:17" ht="38.25" x14ac:dyDescent="0.25">
      <c r="A21" s="7">
        <f t="shared" si="0"/>
        <v>14</v>
      </c>
      <c r="B21" s="7" t="s">
        <v>151</v>
      </c>
      <c r="C21" s="10" t="s">
        <v>1337</v>
      </c>
      <c r="D21" s="9" t="s">
        <v>145</v>
      </c>
      <c r="E21" s="9" t="s">
        <v>50</v>
      </c>
      <c r="F21" s="9" t="s">
        <v>51</v>
      </c>
      <c r="G21" s="7" t="s">
        <v>52</v>
      </c>
      <c r="H21" s="8">
        <f>COUNTIF('Risk Register'!$C$5:$C$297,B21)</f>
        <v>2</v>
      </c>
      <c r="I21" s="8">
        <f>_xlfn.MAXIFS('Risk Register'!$O$5:$O$297,'Risk Register'!$C$5:$C$297,B21)</f>
        <v>16</v>
      </c>
      <c r="J21" s="8">
        <f>_xlfn.MAXIFS('Risk Register'!$T$5:$T$297,'Risk Register'!$C$5:$C$297,B21)</f>
        <v>9</v>
      </c>
      <c r="K21" s="8" t="str">
        <f>IF(COUNTIFS('Risk Register'!$C$5:$C$297,B21,'Risk Register'!$U$5:$U$297,"Critical"),"Critical",IF(COUNTIFS('Risk Register'!$C$5:$C$297,B21,'Risk Register'!$U$5:$U$297,"High"),"High",IF(COUNTIFS('Risk Register'!$C$5:$C$297,B21,'Risk Register'!$U$5:$U$297,"Moderate"),"Moderate",IF(COUNTIFS('Risk Register'!$C$5:$C$297,B21,'Risk Register'!$U$5:$U$297,"Low"),"Low","Very Low"))))</f>
        <v>Moderate</v>
      </c>
      <c r="L21" s="7" t="s">
        <v>76</v>
      </c>
      <c r="M21" s="9" t="str">
        <f t="shared" si="1"/>
        <v>Matches</v>
      </c>
      <c r="N21" s="7" t="s">
        <v>1352</v>
      </c>
      <c r="O21" s="9" t="s">
        <v>883</v>
      </c>
      <c r="P21" s="7" t="s">
        <v>71</v>
      </c>
      <c r="Q21" s="9" t="s">
        <v>1367</v>
      </c>
    </row>
    <row r="22" spans="1:17" ht="25.5" x14ac:dyDescent="0.25">
      <c r="A22" s="7">
        <f t="shared" si="0"/>
        <v>14</v>
      </c>
      <c r="B22" s="7" t="s">
        <v>153</v>
      </c>
      <c r="C22" s="10" t="s">
        <v>1338</v>
      </c>
      <c r="D22" s="9" t="s">
        <v>154</v>
      </c>
      <c r="E22" s="9" t="s">
        <v>155</v>
      </c>
      <c r="F22" s="9" t="s">
        <v>51</v>
      </c>
      <c r="G22" s="7" t="s">
        <v>91</v>
      </c>
      <c r="H22" s="8">
        <f>COUNTIF('Risk Register'!$C$5:$C$297,B22)</f>
        <v>4</v>
      </c>
      <c r="I22" s="8">
        <f>_xlfn.MAXIFS('Risk Register'!$O$5:$O$297,'Risk Register'!$C$5:$C$297,B22)</f>
        <v>15</v>
      </c>
      <c r="J22" s="8">
        <f>_xlfn.MAXIFS('Risk Register'!$T$5:$T$297,'Risk Register'!$C$5:$C$297,B22)</f>
        <v>9</v>
      </c>
      <c r="K22" s="8" t="str">
        <f>IF(COUNTIFS('Risk Register'!$C$5:$C$297,B22,'Risk Register'!$U$5:$U$297,"Critical"),"Critical",IF(COUNTIFS('Risk Register'!$C$5:$C$297,B22,'Risk Register'!$U$5:$U$297,"High"),"High",IF(COUNTIFS('Risk Register'!$C$5:$C$297,B22,'Risk Register'!$U$5:$U$297,"Moderate"),"Moderate",IF(COUNTIFS('Risk Register'!$C$5:$C$297,B22,'Risk Register'!$U$5:$U$297,"Low"),"Low","Very Low"))))</f>
        <v>Moderate</v>
      </c>
      <c r="L22" s="7" t="s">
        <v>76</v>
      </c>
      <c r="M22" s="9" t="str">
        <f t="shared" si="1"/>
        <v>Matches</v>
      </c>
      <c r="N22" s="7" t="s">
        <v>1352</v>
      </c>
      <c r="O22" s="9" t="s">
        <v>883</v>
      </c>
      <c r="P22" s="7" t="s">
        <v>181</v>
      </c>
      <c r="Q22" s="9" t="s">
        <v>1368</v>
      </c>
    </row>
    <row r="23" spans="1:17" ht="25.5" x14ac:dyDescent="0.25">
      <c r="A23" s="7">
        <f t="shared" si="0"/>
        <v>14</v>
      </c>
      <c r="B23" s="7" t="s">
        <v>160</v>
      </c>
      <c r="C23" s="10" t="s">
        <v>1338</v>
      </c>
      <c r="D23" s="9" t="s">
        <v>161</v>
      </c>
      <c r="E23" s="9" t="s">
        <v>36</v>
      </c>
      <c r="F23" s="9" t="s">
        <v>51</v>
      </c>
      <c r="G23" s="7" t="s">
        <v>91</v>
      </c>
      <c r="H23" s="8">
        <f>COUNTIF('Risk Register'!$C$5:$C$297,B23)</f>
        <v>3</v>
      </c>
      <c r="I23" s="8">
        <f>_xlfn.MAXIFS('Risk Register'!$O$5:$O$297,'Risk Register'!$C$5:$C$297,B23)</f>
        <v>15</v>
      </c>
      <c r="J23" s="8">
        <f>_xlfn.MAXIFS('Risk Register'!$T$5:$T$297,'Risk Register'!$C$5:$C$297,B23)</f>
        <v>9</v>
      </c>
      <c r="K23" s="8" t="str">
        <f>IF(COUNTIFS('Risk Register'!$C$5:$C$297,B23,'Risk Register'!$U$5:$U$297,"Critical"),"Critical",IF(COUNTIFS('Risk Register'!$C$5:$C$297,B23,'Risk Register'!$U$5:$U$297,"High"),"High",IF(COUNTIFS('Risk Register'!$C$5:$C$297,B23,'Risk Register'!$U$5:$U$297,"Moderate"),"Moderate",IF(COUNTIFS('Risk Register'!$C$5:$C$297,B23,'Risk Register'!$U$5:$U$297,"Low"),"Low","Very Low"))))</f>
        <v>Moderate</v>
      </c>
      <c r="L23" s="7" t="s">
        <v>76</v>
      </c>
      <c r="M23" s="9" t="str">
        <f t="shared" si="1"/>
        <v>Matches</v>
      </c>
      <c r="N23" s="7" t="s">
        <v>1352</v>
      </c>
      <c r="O23" s="9" t="s">
        <v>883</v>
      </c>
      <c r="P23" s="7" t="s">
        <v>1369</v>
      </c>
      <c r="Q23" s="9" t="s">
        <v>1370</v>
      </c>
    </row>
    <row r="24" spans="1:17" ht="25.5" x14ac:dyDescent="0.25">
      <c r="A24" s="7">
        <f t="shared" si="0"/>
        <v>14</v>
      </c>
      <c r="B24" s="7" t="s">
        <v>168</v>
      </c>
      <c r="C24" s="10" t="s">
        <v>1338</v>
      </c>
      <c r="D24" s="9" t="s">
        <v>169</v>
      </c>
      <c r="E24" s="9" t="s">
        <v>170</v>
      </c>
      <c r="F24" s="9" t="s">
        <v>51</v>
      </c>
      <c r="G24" s="7" t="s">
        <v>171</v>
      </c>
      <c r="H24" s="8">
        <f>COUNTIF('Risk Register'!$C$5:$C$297,B24)</f>
        <v>5</v>
      </c>
      <c r="I24" s="8">
        <f>_xlfn.MAXIFS('Risk Register'!$O$5:$O$297,'Risk Register'!$C$5:$C$297,B24)</f>
        <v>15</v>
      </c>
      <c r="J24" s="8">
        <f>_xlfn.MAXIFS('Risk Register'!$T$5:$T$297,'Risk Register'!$C$5:$C$297,B24)</f>
        <v>9</v>
      </c>
      <c r="K24" s="8" t="str">
        <f>IF(COUNTIFS('Risk Register'!$C$5:$C$297,B24,'Risk Register'!$U$5:$U$297,"Critical"),"Critical",IF(COUNTIFS('Risk Register'!$C$5:$C$297,B24,'Risk Register'!$U$5:$U$297,"High"),"High",IF(COUNTIFS('Risk Register'!$C$5:$C$297,B24,'Risk Register'!$U$5:$U$297,"Moderate"),"Moderate",IF(COUNTIFS('Risk Register'!$C$5:$C$297,B24,'Risk Register'!$U$5:$U$297,"Low"),"Low","Very Low"))))</f>
        <v>Moderate</v>
      </c>
      <c r="L24" s="7" t="s">
        <v>76</v>
      </c>
      <c r="M24" s="9" t="str">
        <f t="shared" si="1"/>
        <v>Matches</v>
      </c>
      <c r="N24" s="7" t="s">
        <v>1352</v>
      </c>
      <c r="O24" s="9" t="s">
        <v>1371</v>
      </c>
      <c r="P24" s="7" t="s">
        <v>335</v>
      </c>
      <c r="Q24" s="9" t="s">
        <v>1372</v>
      </c>
    </row>
    <row r="25" spans="1:17" ht="25.5" x14ac:dyDescent="0.25">
      <c r="A25" s="7">
        <f t="shared" si="0"/>
        <v>14</v>
      </c>
      <c r="B25" s="7" t="s">
        <v>178</v>
      </c>
      <c r="C25" s="10" t="s">
        <v>1337</v>
      </c>
      <c r="D25" s="9" t="s">
        <v>179</v>
      </c>
      <c r="E25" s="9" t="s">
        <v>155</v>
      </c>
      <c r="F25" s="9" t="s">
        <v>180</v>
      </c>
      <c r="G25" s="7" t="s">
        <v>181</v>
      </c>
      <c r="H25" s="8">
        <f>COUNTIF('Risk Register'!$C$5:$C$297,B25)</f>
        <v>4</v>
      </c>
      <c r="I25" s="8">
        <f>_xlfn.MAXIFS('Risk Register'!$O$5:$O$297,'Risk Register'!$C$5:$C$297,B25)</f>
        <v>15</v>
      </c>
      <c r="J25" s="8">
        <f>_xlfn.MAXIFS('Risk Register'!$T$5:$T$297,'Risk Register'!$C$5:$C$297,B25)</f>
        <v>9</v>
      </c>
      <c r="K25" s="8" t="str">
        <f>IF(COUNTIFS('Risk Register'!$C$5:$C$297,B25,'Risk Register'!$U$5:$U$297,"Critical"),"Critical",IF(COUNTIFS('Risk Register'!$C$5:$C$297,B25,'Risk Register'!$U$5:$U$297,"High"),"High",IF(COUNTIFS('Risk Register'!$C$5:$C$297,B25,'Risk Register'!$U$5:$U$297,"Moderate"),"Moderate",IF(COUNTIFS('Risk Register'!$C$5:$C$297,B25,'Risk Register'!$U$5:$U$297,"Low"),"Low","Very Low"))))</f>
        <v>Moderate</v>
      </c>
      <c r="L25" s="7" t="s">
        <v>76</v>
      </c>
      <c r="M25" s="9" t="str">
        <f t="shared" si="1"/>
        <v>Matches</v>
      </c>
      <c r="N25" s="7" t="s">
        <v>1352</v>
      </c>
      <c r="O25" s="9" t="s">
        <v>1373</v>
      </c>
      <c r="P25" s="7" t="s">
        <v>181</v>
      </c>
      <c r="Q25" s="9" t="s">
        <v>1368</v>
      </c>
    </row>
    <row r="26" spans="1:17" ht="25.5" x14ac:dyDescent="0.25">
      <c r="A26" s="7">
        <f t="shared" si="0"/>
        <v>14</v>
      </c>
      <c r="B26" s="7" t="s">
        <v>194</v>
      </c>
      <c r="C26" s="10" t="s">
        <v>1338</v>
      </c>
      <c r="D26" s="9" t="s">
        <v>61</v>
      </c>
      <c r="E26" s="9" t="s">
        <v>36</v>
      </c>
      <c r="F26" s="9" t="s">
        <v>51</v>
      </c>
      <c r="G26" s="7" t="s">
        <v>71</v>
      </c>
      <c r="H26" s="8">
        <f>COUNTIF('Risk Register'!$C$5:$C$297,B26)</f>
        <v>3</v>
      </c>
      <c r="I26" s="8">
        <f>_xlfn.MAXIFS('Risk Register'!$O$5:$O$297,'Risk Register'!$C$5:$C$297,B26)</f>
        <v>12</v>
      </c>
      <c r="J26" s="8">
        <f>_xlfn.MAXIFS('Risk Register'!$T$5:$T$297,'Risk Register'!$C$5:$C$297,B26)</f>
        <v>9</v>
      </c>
      <c r="K26" s="8" t="str">
        <f>IF(COUNTIFS('Risk Register'!$C$5:$C$297,B26,'Risk Register'!$U$5:$U$297,"Critical"),"Critical",IF(COUNTIFS('Risk Register'!$C$5:$C$297,B26,'Risk Register'!$U$5:$U$297,"High"),"High",IF(COUNTIFS('Risk Register'!$C$5:$C$297,B26,'Risk Register'!$U$5:$U$297,"Moderate"),"Moderate",IF(COUNTIFS('Risk Register'!$C$5:$C$297,B26,'Risk Register'!$U$5:$U$297,"Low"),"Low","Very Low"))))</f>
        <v>Moderate</v>
      </c>
      <c r="L26" s="7" t="s">
        <v>76</v>
      </c>
      <c r="M26" s="9" t="str">
        <f t="shared" si="1"/>
        <v>Matches</v>
      </c>
      <c r="N26" s="7" t="s">
        <v>1352</v>
      </c>
      <c r="O26" s="9" t="s">
        <v>883</v>
      </c>
      <c r="P26" s="7" t="s">
        <v>1355</v>
      </c>
      <c r="Q26" s="9" t="s">
        <v>1356</v>
      </c>
    </row>
    <row r="27" spans="1:17" ht="38.25" x14ac:dyDescent="0.25">
      <c r="A27" s="7">
        <f t="shared" si="0"/>
        <v>14</v>
      </c>
      <c r="B27" s="7" t="s">
        <v>261</v>
      </c>
      <c r="C27" s="10" t="s">
        <v>1338</v>
      </c>
      <c r="D27" s="9" t="s">
        <v>262</v>
      </c>
      <c r="E27" s="9" t="s">
        <v>50</v>
      </c>
      <c r="F27" s="9" t="s">
        <v>51</v>
      </c>
      <c r="G27" s="7" t="s">
        <v>71</v>
      </c>
      <c r="H27" s="8">
        <f>COUNTIF('Risk Register'!$C$5:$C$297,B27)</f>
        <v>5</v>
      </c>
      <c r="I27" s="8">
        <f>_xlfn.MAXIFS('Risk Register'!$O$5:$O$297,'Risk Register'!$C$5:$C$297,B27)</f>
        <v>12</v>
      </c>
      <c r="J27" s="8">
        <f>_xlfn.MAXIFS('Risk Register'!$T$5:$T$297,'Risk Register'!$C$5:$C$297,B27)</f>
        <v>9</v>
      </c>
      <c r="K27" s="8" t="str">
        <f>IF(COUNTIFS('Risk Register'!$C$5:$C$297,B27,'Risk Register'!$U$5:$U$297,"Critical"),"Critical",IF(COUNTIFS('Risk Register'!$C$5:$C$297,B27,'Risk Register'!$U$5:$U$297,"High"),"High",IF(COUNTIFS('Risk Register'!$C$5:$C$297,B27,'Risk Register'!$U$5:$U$297,"Moderate"),"Moderate",IF(COUNTIFS('Risk Register'!$C$5:$C$297,B27,'Risk Register'!$U$5:$U$297,"Low"),"Low","Very Low"))))</f>
        <v>Moderate</v>
      </c>
      <c r="L27" s="7" t="s">
        <v>311</v>
      </c>
      <c r="M27" s="9" t="str">
        <f t="shared" si="1"/>
        <v>Differs - form states 6</v>
      </c>
      <c r="N27" s="7" t="s">
        <v>1352</v>
      </c>
      <c r="O27" s="9" t="s">
        <v>883</v>
      </c>
      <c r="P27" s="7" t="s">
        <v>71</v>
      </c>
      <c r="Q27" s="9" t="s">
        <v>1367</v>
      </c>
    </row>
    <row r="28" spans="1:17" ht="25.5" x14ac:dyDescent="0.25">
      <c r="A28" s="7">
        <f t="shared" si="0"/>
        <v>14</v>
      </c>
      <c r="B28" s="7" t="s">
        <v>268</v>
      </c>
      <c r="C28" s="10" t="s">
        <v>1338</v>
      </c>
      <c r="D28" s="9" t="s">
        <v>269</v>
      </c>
      <c r="E28" s="9" t="s">
        <v>36</v>
      </c>
      <c r="F28" s="9" t="s">
        <v>51</v>
      </c>
      <c r="G28" s="7" t="s">
        <v>71</v>
      </c>
      <c r="H28" s="8">
        <f>COUNTIF('Risk Register'!$C$5:$C$297,B28)</f>
        <v>2</v>
      </c>
      <c r="I28" s="8">
        <f>_xlfn.MAXIFS('Risk Register'!$O$5:$O$297,'Risk Register'!$C$5:$C$297,B28)</f>
        <v>12</v>
      </c>
      <c r="J28" s="8">
        <f>_xlfn.MAXIFS('Risk Register'!$T$5:$T$297,'Risk Register'!$C$5:$C$297,B28)</f>
        <v>9</v>
      </c>
      <c r="K28" s="8" t="str">
        <f>IF(COUNTIFS('Risk Register'!$C$5:$C$297,B28,'Risk Register'!$U$5:$U$297,"Critical"),"Critical",IF(COUNTIFS('Risk Register'!$C$5:$C$297,B28,'Risk Register'!$U$5:$U$297,"High"),"High",IF(COUNTIFS('Risk Register'!$C$5:$C$297,B28,'Risk Register'!$U$5:$U$297,"Moderate"),"Moderate",IF(COUNTIFS('Risk Register'!$C$5:$C$297,B28,'Risk Register'!$U$5:$U$297,"Low"),"Low","Very Low"))))</f>
        <v>Moderate</v>
      </c>
      <c r="L28" s="7" t="s">
        <v>76</v>
      </c>
      <c r="M28" s="9" t="str">
        <f t="shared" si="1"/>
        <v>Matches</v>
      </c>
      <c r="N28" s="7" t="s">
        <v>1352</v>
      </c>
      <c r="O28" s="9" t="s">
        <v>883</v>
      </c>
      <c r="P28" s="7" t="s">
        <v>1365</v>
      </c>
      <c r="Q28" s="9" t="s">
        <v>1374</v>
      </c>
    </row>
    <row r="29" spans="1:17" ht="38.25" x14ac:dyDescent="0.25">
      <c r="A29" s="7">
        <f t="shared" si="0"/>
        <v>14</v>
      </c>
      <c r="B29" s="7" t="s">
        <v>201</v>
      </c>
      <c r="C29" s="10" t="s">
        <v>1338</v>
      </c>
      <c r="D29" s="9" t="s">
        <v>202</v>
      </c>
      <c r="E29" s="9" t="s">
        <v>50</v>
      </c>
      <c r="F29" s="9" t="s">
        <v>51</v>
      </c>
      <c r="G29" s="7" t="s">
        <v>71</v>
      </c>
      <c r="H29" s="8">
        <f>COUNTIF('Risk Register'!$C$5:$C$297,B29)</f>
        <v>3</v>
      </c>
      <c r="I29" s="8">
        <f>_xlfn.MAXIFS('Risk Register'!$O$5:$O$297,'Risk Register'!$C$5:$C$297,B29)</f>
        <v>12</v>
      </c>
      <c r="J29" s="8">
        <f>_xlfn.MAXIFS('Risk Register'!$T$5:$T$297,'Risk Register'!$C$5:$C$297,B29)</f>
        <v>9</v>
      </c>
      <c r="K29" s="8" t="str">
        <f>IF(COUNTIFS('Risk Register'!$C$5:$C$297,B29,'Risk Register'!$U$5:$U$297,"Critical"),"Critical",IF(COUNTIFS('Risk Register'!$C$5:$C$297,B29,'Risk Register'!$U$5:$U$297,"High"),"High",IF(COUNTIFS('Risk Register'!$C$5:$C$297,B29,'Risk Register'!$U$5:$U$297,"Moderate"),"Moderate",IF(COUNTIFS('Risk Register'!$C$5:$C$297,B29,'Risk Register'!$U$5:$U$297,"Low"),"Low","Very Low"))))</f>
        <v>Moderate</v>
      </c>
      <c r="L29" s="7" t="s">
        <v>76</v>
      </c>
      <c r="M29" s="9" t="str">
        <f t="shared" si="1"/>
        <v>Matches</v>
      </c>
      <c r="N29" s="7" t="s">
        <v>1352</v>
      </c>
      <c r="O29" s="9" t="s">
        <v>883</v>
      </c>
      <c r="P29" s="7" t="s">
        <v>71</v>
      </c>
      <c r="Q29" s="9" t="s">
        <v>883</v>
      </c>
    </row>
    <row r="30" spans="1:17" ht="25.5" x14ac:dyDescent="0.25">
      <c r="A30" s="7">
        <f t="shared" si="0"/>
        <v>14</v>
      </c>
      <c r="B30" s="7" t="s">
        <v>208</v>
      </c>
      <c r="C30" s="10" t="s">
        <v>1337</v>
      </c>
      <c r="D30" s="9" t="s">
        <v>209</v>
      </c>
      <c r="E30" s="9" t="s">
        <v>155</v>
      </c>
      <c r="F30" s="9" t="s">
        <v>210</v>
      </c>
      <c r="G30" s="7" t="s">
        <v>211</v>
      </c>
      <c r="H30" s="8">
        <f>COUNTIF('Risk Register'!$C$5:$C$297,B30)</f>
        <v>2</v>
      </c>
      <c r="I30" s="8">
        <f>_xlfn.MAXIFS('Risk Register'!$O$5:$O$297,'Risk Register'!$C$5:$C$297,B30)</f>
        <v>12</v>
      </c>
      <c r="J30" s="8">
        <f>_xlfn.MAXIFS('Risk Register'!$T$5:$T$297,'Risk Register'!$C$5:$C$297,B30)</f>
        <v>9</v>
      </c>
      <c r="K30" s="8" t="str">
        <f>IF(COUNTIFS('Risk Register'!$C$5:$C$297,B30,'Risk Register'!$U$5:$U$297,"Critical"),"Critical",IF(COUNTIFS('Risk Register'!$C$5:$C$297,B30,'Risk Register'!$U$5:$U$297,"High"),"High",IF(COUNTIFS('Risk Register'!$C$5:$C$297,B30,'Risk Register'!$U$5:$U$297,"Moderate"),"Moderate",IF(COUNTIFS('Risk Register'!$C$5:$C$297,B30,'Risk Register'!$U$5:$U$297,"Low"),"Low","Very Low"))))</f>
        <v>Moderate</v>
      </c>
      <c r="L30" s="7" t="s">
        <v>76</v>
      </c>
      <c r="M30" s="9" t="str">
        <f t="shared" si="1"/>
        <v>Matches</v>
      </c>
      <c r="N30" s="7" t="s">
        <v>1352</v>
      </c>
      <c r="O30" s="9" t="s">
        <v>1371</v>
      </c>
      <c r="P30" s="7" t="s">
        <v>211</v>
      </c>
      <c r="Q30" s="9" t="s">
        <v>1281</v>
      </c>
    </row>
    <row r="31" spans="1:17" ht="38.25" x14ac:dyDescent="0.25">
      <c r="A31" s="7">
        <f t="shared" si="0"/>
        <v>14</v>
      </c>
      <c r="B31" s="7" t="s">
        <v>289</v>
      </c>
      <c r="C31" s="10" t="s">
        <v>1337</v>
      </c>
      <c r="D31" s="9" t="s">
        <v>262</v>
      </c>
      <c r="E31" s="9" t="s">
        <v>50</v>
      </c>
      <c r="F31" s="9" t="s">
        <v>51</v>
      </c>
      <c r="G31" s="7" t="s">
        <v>52</v>
      </c>
      <c r="H31" s="8">
        <f>COUNTIF('Risk Register'!$C$5:$C$297,B31)</f>
        <v>5</v>
      </c>
      <c r="I31" s="8">
        <f>_xlfn.MAXIFS('Risk Register'!$O$5:$O$297,'Risk Register'!$C$5:$C$297,B31)</f>
        <v>12</v>
      </c>
      <c r="J31" s="8">
        <f>_xlfn.MAXIFS('Risk Register'!$T$5:$T$297,'Risk Register'!$C$5:$C$297,B31)</f>
        <v>9</v>
      </c>
      <c r="K31" s="8" t="str">
        <f>IF(COUNTIFS('Risk Register'!$C$5:$C$297,B31,'Risk Register'!$U$5:$U$297,"Critical"),"Critical",IF(COUNTIFS('Risk Register'!$C$5:$C$297,B31,'Risk Register'!$U$5:$U$297,"High"),"High",IF(COUNTIFS('Risk Register'!$C$5:$C$297,B31,'Risk Register'!$U$5:$U$297,"Moderate"),"Moderate",IF(COUNTIFS('Risk Register'!$C$5:$C$297,B31,'Risk Register'!$U$5:$U$297,"Low"),"Low","Very Low"))))</f>
        <v>Moderate</v>
      </c>
      <c r="L31" s="7" t="s">
        <v>311</v>
      </c>
      <c r="M31" s="9" t="str">
        <f t="shared" si="1"/>
        <v>Differs - form states 6</v>
      </c>
      <c r="N31" s="7" t="s">
        <v>1352</v>
      </c>
      <c r="O31" s="9" t="s">
        <v>883</v>
      </c>
      <c r="P31" s="7" t="s">
        <v>71</v>
      </c>
      <c r="Q31" s="9" t="s">
        <v>1367</v>
      </c>
    </row>
    <row r="32" spans="1:17" x14ac:dyDescent="0.25">
      <c r="A32" s="7">
        <f t="shared" si="0"/>
        <v>14</v>
      </c>
      <c r="B32" s="7" t="s">
        <v>230</v>
      </c>
      <c r="C32" s="10" t="s">
        <v>1337</v>
      </c>
      <c r="D32" s="9" t="s">
        <v>231</v>
      </c>
      <c r="E32" s="9" t="s">
        <v>232</v>
      </c>
      <c r="F32" s="9" t="s">
        <v>51</v>
      </c>
      <c r="G32" s="7" t="s">
        <v>233</v>
      </c>
      <c r="H32" s="8">
        <f>COUNTIF('Risk Register'!$C$5:$C$297,B32)</f>
        <v>2</v>
      </c>
      <c r="I32" s="8">
        <f>_xlfn.MAXIFS('Risk Register'!$O$5:$O$297,'Risk Register'!$C$5:$C$297,B32)</f>
        <v>12</v>
      </c>
      <c r="J32" s="8">
        <f>_xlfn.MAXIFS('Risk Register'!$T$5:$T$297,'Risk Register'!$C$5:$C$297,B32)</f>
        <v>9</v>
      </c>
      <c r="K32" s="8" t="str">
        <f>IF(COUNTIFS('Risk Register'!$C$5:$C$297,B32,'Risk Register'!$U$5:$U$297,"Critical"),"Critical",IF(COUNTIFS('Risk Register'!$C$5:$C$297,B32,'Risk Register'!$U$5:$U$297,"High"),"High",IF(COUNTIFS('Risk Register'!$C$5:$C$297,B32,'Risk Register'!$U$5:$U$297,"Moderate"),"Moderate",IF(COUNTIFS('Risk Register'!$C$5:$C$297,B32,'Risk Register'!$U$5:$U$297,"Low"),"Low","Very Low"))))</f>
        <v>Moderate</v>
      </c>
      <c r="L32" s="7" t="s">
        <v>76</v>
      </c>
      <c r="M32" s="9" t="str">
        <f t="shared" si="1"/>
        <v>Matches</v>
      </c>
      <c r="N32" s="7" t="s">
        <v>1352</v>
      </c>
      <c r="O32" s="9" t="s">
        <v>883</v>
      </c>
      <c r="P32" s="7" t="s">
        <v>233</v>
      </c>
      <c r="Q32" s="9" t="s">
        <v>1375</v>
      </c>
    </row>
    <row r="33" spans="1:17" ht="25.5" x14ac:dyDescent="0.25">
      <c r="A33" s="7">
        <f t="shared" si="0"/>
        <v>14</v>
      </c>
      <c r="B33" s="7" t="s">
        <v>291</v>
      </c>
      <c r="C33" s="10" t="s">
        <v>1337</v>
      </c>
      <c r="D33" s="9" t="s">
        <v>269</v>
      </c>
      <c r="E33" s="9" t="s">
        <v>36</v>
      </c>
      <c r="F33" s="9" t="s">
        <v>51</v>
      </c>
      <c r="G33" s="7" t="s">
        <v>52</v>
      </c>
      <c r="H33" s="8">
        <f>COUNTIF('Risk Register'!$C$5:$C$297,B33)</f>
        <v>2</v>
      </c>
      <c r="I33" s="8">
        <f>_xlfn.MAXIFS('Risk Register'!$O$5:$O$297,'Risk Register'!$C$5:$C$297,B33)</f>
        <v>12</v>
      </c>
      <c r="J33" s="8">
        <f>_xlfn.MAXIFS('Risk Register'!$T$5:$T$297,'Risk Register'!$C$5:$C$297,B33)</f>
        <v>9</v>
      </c>
      <c r="K33" s="8" t="str">
        <f>IF(COUNTIFS('Risk Register'!$C$5:$C$297,B33,'Risk Register'!$U$5:$U$297,"Critical"),"Critical",IF(COUNTIFS('Risk Register'!$C$5:$C$297,B33,'Risk Register'!$U$5:$U$297,"High"),"High",IF(COUNTIFS('Risk Register'!$C$5:$C$297,B33,'Risk Register'!$U$5:$U$297,"Moderate"),"Moderate",IF(COUNTIFS('Risk Register'!$C$5:$C$297,B33,'Risk Register'!$U$5:$U$297,"Low"),"Low","Very Low"))))</f>
        <v>Moderate</v>
      </c>
      <c r="L33" s="7" t="s">
        <v>76</v>
      </c>
      <c r="M33" s="9" t="str">
        <f t="shared" si="1"/>
        <v>Matches</v>
      </c>
      <c r="N33" s="7" t="s">
        <v>1352</v>
      </c>
      <c r="O33" s="9" t="s">
        <v>883</v>
      </c>
      <c r="P33" s="7" t="s">
        <v>1365</v>
      </c>
      <c r="Q33" s="9" t="s">
        <v>1374</v>
      </c>
    </row>
    <row r="34" spans="1:17" ht="38.25" x14ac:dyDescent="0.25">
      <c r="A34" s="7">
        <f t="shared" si="0"/>
        <v>14</v>
      </c>
      <c r="B34" s="7" t="s">
        <v>239</v>
      </c>
      <c r="C34" s="10" t="s">
        <v>1337</v>
      </c>
      <c r="D34" s="9" t="s">
        <v>202</v>
      </c>
      <c r="E34" s="9" t="s">
        <v>50</v>
      </c>
      <c r="F34" s="9" t="s">
        <v>51</v>
      </c>
      <c r="G34" s="7" t="s">
        <v>52</v>
      </c>
      <c r="H34" s="8">
        <f>COUNTIF('Risk Register'!$C$5:$C$297,B34)</f>
        <v>3</v>
      </c>
      <c r="I34" s="8">
        <f>_xlfn.MAXIFS('Risk Register'!$O$5:$O$297,'Risk Register'!$C$5:$C$297,B34)</f>
        <v>12</v>
      </c>
      <c r="J34" s="8">
        <f>_xlfn.MAXIFS('Risk Register'!$T$5:$T$297,'Risk Register'!$C$5:$C$297,B34)</f>
        <v>9</v>
      </c>
      <c r="K34" s="8" t="str">
        <f>IF(COUNTIFS('Risk Register'!$C$5:$C$297,B34,'Risk Register'!$U$5:$U$297,"Critical"),"Critical",IF(COUNTIFS('Risk Register'!$C$5:$C$297,B34,'Risk Register'!$U$5:$U$297,"High"),"High",IF(COUNTIFS('Risk Register'!$C$5:$C$297,B34,'Risk Register'!$U$5:$U$297,"Moderate"),"Moderate",IF(COUNTIFS('Risk Register'!$C$5:$C$297,B34,'Risk Register'!$U$5:$U$297,"Low"),"Low","Very Low"))))</f>
        <v>Moderate</v>
      </c>
      <c r="L34" s="7" t="s">
        <v>76</v>
      </c>
      <c r="M34" s="9" t="str">
        <f t="shared" si="1"/>
        <v>Matches</v>
      </c>
      <c r="N34" s="7" t="s">
        <v>1352</v>
      </c>
      <c r="O34" s="9" t="s">
        <v>883</v>
      </c>
      <c r="P34" s="7" t="s">
        <v>71</v>
      </c>
      <c r="Q34" s="9" t="s">
        <v>883</v>
      </c>
    </row>
    <row r="35" spans="1:17" ht="38.25" x14ac:dyDescent="0.25">
      <c r="A35" s="7">
        <f t="shared" si="0"/>
        <v>14</v>
      </c>
      <c r="B35" s="7" t="s">
        <v>281</v>
      </c>
      <c r="C35" s="10" t="s">
        <v>1338</v>
      </c>
      <c r="D35" s="9" t="s">
        <v>282</v>
      </c>
      <c r="E35" s="9" t="s">
        <v>50</v>
      </c>
      <c r="F35" s="9" t="s">
        <v>51</v>
      </c>
      <c r="G35" s="7" t="s">
        <v>71</v>
      </c>
      <c r="H35" s="8">
        <f>COUNTIF('Risk Register'!$C$5:$C$297,B35)</f>
        <v>5</v>
      </c>
      <c r="I35" s="8">
        <f>_xlfn.MAXIFS('Risk Register'!$O$5:$O$297,'Risk Register'!$C$5:$C$297,B35)</f>
        <v>10</v>
      </c>
      <c r="J35" s="8">
        <f>_xlfn.MAXIFS('Risk Register'!$T$5:$T$297,'Risk Register'!$C$5:$C$297,B35)</f>
        <v>9</v>
      </c>
      <c r="K35" s="8" t="str">
        <f>IF(COUNTIFS('Risk Register'!$C$5:$C$297,B35,'Risk Register'!$U$5:$U$297,"Critical"),"Critical",IF(COUNTIFS('Risk Register'!$C$5:$C$297,B35,'Risk Register'!$U$5:$U$297,"High"),"High",IF(COUNTIFS('Risk Register'!$C$5:$C$297,B35,'Risk Register'!$U$5:$U$297,"Moderate"),"Moderate",IF(COUNTIFS('Risk Register'!$C$5:$C$297,B35,'Risk Register'!$U$5:$U$297,"Low"),"Low","Very Low"))))</f>
        <v>Moderate</v>
      </c>
      <c r="L35" s="7" t="s">
        <v>316</v>
      </c>
      <c r="M35" s="9" t="str">
        <f t="shared" si="1"/>
        <v>Differs - form states 8</v>
      </c>
      <c r="N35" s="7" t="s">
        <v>1352</v>
      </c>
      <c r="O35" s="9" t="s">
        <v>883</v>
      </c>
      <c r="P35" s="7" t="s">
        <v>71</v>
      </c>
      <c r="Q35" s="9" t="s">
        <v>1376</v>
      </c>
    </row>
    <row r="36" spans="1:17" ht="38.25" x14ac:dyDescent="0.25">
      <c r="A36" s="7">
        <f t="shared" si="0"/>
        <v>14</v>
      </c>
      <c r="B36" s="7" t="s">
        <v>293</v>
      </c>
      <c r="C36" s="10" t="s">
        <v>1337</v>
      </c>
      <c r="D36" s="9" t="s">
        <v>294</v>
      </c>
      <c r="E36" s="9" t="s">
        <v>36</v>
      </c>
      <c r="F36" s="9" t="s">
        <v>295</v>
      </c>
      <c r="G36" s="7" t="s">
        <v>296</v>
      </c>
      <c r="H36" s="8">
        <f>COUNTIF('Risk Register'!$C$5:$C$297,B36)</f>
        <v>3</v>
      </c>
      <c r="I36" s="8">
        <f>_xlfn.MAXIFS('Risk Register'!$O$5:$O$297,'Risk Register'!$C$5:$C$297,B36)</f>
        <v>9</v>
      </c>
      <c r="J36" s="8">
        <f>_xlfn.MAXIFS('Risk Register'!$T$5:$T$297,'Risk Register'!$C$5:$C$297,B36)</f>
        <v>9</v>
      </c>
      <c r="K36" s="8" t="str">
        <f>IF(COUNTIFS('Risk Register'!$C$5:$C$297,B36,'Risk Register'!$U$5:$U$297,"Critical"),"Critical",IF(COUNTIFS('Risk Register'!$C$5:$C$297,B36,'Risk Register'!$U$5:$U$297,"High"),"High",IF(COUNTIFS('Risk Register'!$C$5:$C$297,B36,'Risk Register'!$U$5:$U$297,"Moderate"),"Moderate",IF(COUNTIFS('Risk Register'!$C$5:$C$297,B36,'Risk Register'!$U$5:$U$297,"Low"),"Low","Very Low"))))</f>
        <v>Moderate</v>
      </c>
      <c r="L36" s="7" t="s">
        <v>765</v>
      </c>
      <c r="M36" s="9" t="str">
        <f t="shared" si="1"/>
        <v>Differs - form states 5</v>
      </c>
      <c r="N36" s="7" t="s">
        <v>1352</v>
      </c>
      <c r="O36" s="9" t="s">
        <v>1373</v>
      </c>
      <c r="P36" s="7" t="s">
        <v>296</v>
      </c>
      <c r="Q36" s="9" t="s">
        <v>1377</v>
      </c>
    </row>
    <row r="37" spans="1:17" ht="25.5" x14ac:dyDescent="0.25">
      <c r="A37" s="7">
        <f t="shared" ref="A37:A68" si="2">COUNTIF($J$5:$J$101,"&gt;"&amp;J37)+1</f>
        <v>14</v>
      </c>
      <c r="B37" s="7" t="s">
        <v>303</v>
      </c>
      <c r="C37" s="10" t="s">
        <v>1338</v>
      </c>
      <c r="D37" s="9" t="s">
        <v>304</v>
      </c>
      <c r="E37" s="9" t="s">
        <v>155</v>
      </c>
      <c r="F37" s="9" t="s">
        <v>51</v>
      </c>
      <c r="G37" s="7" t="s">
        <v>305</v>
      </c>
      <c r="H37" s="8">
        <f>COUNTIF('Risk Register'!$C$5:$C$297,B37)</f>
        <v>2</v>
      </c>
      <c r="I37" s="8">
        <f>_xlfn.MAXIFS('Risk Register'!$O$5:$O$297,'Risk Register'!$C$5:$C$297,B37)</f>
        <v>6</v>
      </c>
      <c r="J37" s="8">
        <f>_xlfn.MAXIFS('Risk Register'!$T$5:$T$297,'Risk Register'!$C$5:$C$297,B37)</f>
        <v>9</v>
      </c>
      <c r="K37" s="8" t="str">
        <f>IF(COUNTIFS('Risk Register'!$C$5:$C$297,B37,'Risk Register'!$U$5:$U$297,"Critical"),"Critical",IF(COUNTIFS('Risk Register'!$C$5:$C$297,B37,'Risk Register'!$U$5:$U$297,"High"),"High",IF(COUNTIFS('Risk Register'!$C$5:$C$297,B37,'Risk Register'!$U$5:$U$297,"Moderate"),"Moderate",IF(COUNTIFS('Risk Register'!$C$5:$C$297,B37,'Risk Register'!$U$5:$U$297,"Low"),"Low","Very Low"))))</f>
        <v>Moderate</v>
      </c>
      <c r="L37" s="7" t="s">
        <v>76</v>
      </c>
      <c r="M37" s="9" t="str">
        <f t="shared" ref="M37:M68" si="3">IF(L37="","No value",IF(IFERROR(VALUE(TRIM(MID(L37,FIND(" - ",L37)+3,3))),-1)=J37,"Matches","Differs - form states "&amp;TRIM(MID(L37,FIND(" - ",L37)+3,3))))</f>
        <v>Matches</v>
      </c>
      <c r="N37" s="7" t="s">
        <v>1352</v>
      </c>
      <c r="O37" s="9" t="s">
        <v>1378</v>
      </c>
      <c r="P37" s="7" t="s">
        <v>305</v>
      </c>
      <c r="Q37" s="9" t="s">
        <v>1378</v>
      </c>
    </row>
    <row r="38" spans="1:17" ht="38.25" x14ac:dyDescent="0.25">
      <c r="A38" s="7">
        <f t="shared" si="2"/>
        <v>34</v>
      </c>
      <c r="B38" s="7" t="s">
        <v>355</v>
      </c>
      <c r="C38" s="10" t="s">
        <v>1338</v>
      </c>
      <c r="D38" s="9" t="s">
        <v>356</v>
      </c>
      <c r="E38" s="9" t="s">
        <v>232</v>
      </c>
      <c r="F38" s="9" t="s">
        <v>51</v>
      </c>
      <c r="G38" s="7" t="s">
        <v>357</v>
      </c>
      <c r="H38" s="8">
        <f>COUNTIF('Risk Register'!$C$5:$C$297,B38)</f>
        <v>5</v>
      </c>
      <c r="I38" s="8">
        <f>_xlfn.MAXIFS('Risk Register'!$O$5:$O$297,'Risk Register'!$C$5:$C$297,B38)</f>
        <v>20</v>
      </c>
      <c r="J38" s="8">
        <f>_xlfn.MAXIFS('Risk Register'!$T$5:$T$297,'Risk Register'!$C$5:$C$297,B38)</f>
        <v>8</v>
      </c>
      <c r="K38" s="8" t="str">
        <f>IF(COUNTIFS('Risk Register'!$C$5:$C$297,B38,'Risk Register'!$U$5:$U$297,"Critical"),"Critical",IF(COUNTIFS('Risk Register'!$C$5:$C$297,B38,'Risk Register'!$U$5:$U$297,"High"),"High",IF(COUNTIFS('Risk Register'!$C$5:$C$297,B38,'Risk Register'!$U$5:$U$297,"Moderate"),"Moderate",IF(COUNTIFS('Risk Register'!$C$5:$C$297,B38,'Risk Register'!$U$5:$U$297,"Low"),"Low","Very Low"))))</f>
        <v>Moderate</v>
      </c>
      <c r="L38" s="7" t="s">
        <v>316</v>
      </c>
      <c r="M38" s="9" t="str">
        <f t="shared" si="3"/>
        <v>Matches</v>
      </c>
      <c r="N38" s="7" t="s">
        <v>1352</v>
      </c>
      <c r="O38" s="9" t="s">
        <v>883</v>
      </c>
      <c r="P38" s="7" t="s">
        <v>357</v>
      </c>
      <c r="Q38" s="9" t="s">
        <v>1379</v>
      </c>
    </row>
    <row r="39" spans="1:17" ht="25.5" x14ac:dyDescent="0.25">
      <c r="A39" s="7">
        <f t="shared" si="2"/>
        <v>34</v>
      </c>
      <c r="B39" s="7" t="s">
        <v>333</v>
      </c>
      <c r="C39" s="10" t="s">
        <v>1337</v>
      </c>
      <c r="D39" s="9" t="s">
        <v>334</v>
      </c>
      <c r="E39" s="9" t="s">
        <v>170</v>
      </c>
      <c r="F39" s="9" t="s">
        <v>210</v>
      </c>
      <c r="G39" s="7" t="s">
        <v>335</v>
      </c>
      <c r="H39" s="8">
        <f>COUNTIF('Risk Register'!$C$5:$C$297,B39)</f>
        <v>2</v>
      </c>
      <c r="I39" s="8">
        <f>_xlfn.MAXIFS('Risk Register'!$O$5:$O$297,'Risk Register'!$C$5:$C$297,B39)</f>
        <v>15</v>
      </c>
      <c r="J39" s="8">
        <f>_xlfn.MAXIFS('Risk Register'!$T$5:$T$297,'Risk Register'!$C$5:$C$297,B39)</f>
        <v>8</v>
      </c>
      <c r="K39" s="8" t="str">
        <f>IF(COUNTIFS('Risk Register'!$C$5:$C$297,B39,'Risk Register'!$U$5:$U$297,"Critical"),"Critical",IF(COUNTIFS('Risk Register'!$C$5:$C$297,B39,'Risk Register'!$U$5:$U$297,"High"),"High",IF(COUNTIFS('Risk Register'!$C$5:$C$297,B39,'Risk Register'!$U$5:$U$297,"Moderate"),"Moderate",IF(COUNTIFS('Risk Register'!$C$5:$C$297,B39,'Risk Register'!$U$5:$U$297,"Low"),"Low","Very Low"))))</f>
        <v>Moderate</v>
      </c>
      <c r="L39" s="7" t="s">
        <v>316</v>
      </c>
      <c r="M39" s="9" t="str">
        <f t="shared" si="3"/>
        <v>Matches</v>
      </c>
      <c r="N39" s="7" t="s">
        <v>1352</v>
      </c>
      <c r="O39" s="9" t="s">
        <v>1371</v>
      </c>
      <c r="P39" s="7" t="s">
        <v>335</v>
      </c>
      <c r="Q39" s="9" t="s">
        <v>1372</v>
      </c>
    </row>
    <row r="40" spans="1:17" ht="25.5" x14ac:dyDescent="0.25">
      <c r="A40" s="7">
        <f t="shared" si="2"/>
        <v>34</v>
      </c>
      <c r="B40" s="7" t="s">
        <v>337</v>
      </c>
      <c r="C40" s="10" t="s">
        <v>1337</v>
      </c>
      <c r="D40" s="9" t="s">
        <v>338</v>
      </c>
      <c r="E40" s="9" t="s">
        <v>170</v>
      </c>
      <c r="F40" s="9" t="s">
        <v>51</v>
      </c>
      <c r="G40" s="7" t="s">
        <v>339</v>
      </c>
      <c r="H40" s="8">
        <f>COUNTIF('Risk Register'!$C$5:$C$297,B40)</f>
        <v>2</v>
      </c>
      <c r="I40" s="8">
        <f>_xlfn.MAXIFS('Risk Register'!$O$5:$O$297,'Risk Register'!$C$5:$C$297,B40)</f>
        <v>15</v>
      </c>
      <c r="J40" s="8">
        <f>_xlfn.MAXIFS('Risk Register'!$T$5:$T$297,'Risk Register'!$C$5:$C$297,B40)</f>
        <v>8</v>
      </c>
      <c r="K40" s="8" t="str">
        <f>IF(COUNTIFS('Risk Register'!$C$5:$C$297,B40,'Risk Register'!$U$5:$U$297,"Critical"),"Critical",IF(COUNTIFS('Risk Register'!$C$5:$C$297,B40,'Risk Register'!$U$5:$U$297,"High"),"High",IF(COUNTIFS('Risk Register'!$C$5:$C$297,B40,'Risk Register'!$U$5:$U$297,"Moderate"),"Moderate",IF(COUNTIFS('Risk Register'!$C$5:$C$297,B40,'Risk Register'!$U$5:$U$297,"Low"),"Low","Very Low"))))</f>
        <v>Moderate</v>
      </c>
      <c r="L40" s="7" t="s">
        <v>316</v>
      </c>
      <c r="M40" s="9" t="str">
        <f t="shared" si="3"/>
        <v>Matches</v>
      </c>
      <c r="N40" s="7" t="s">
        <v>1352</v>
      </c>
      <c r="O40" s="9" t="s">
        <v>1360</v>
      </c>
      <c r="P40" s="7" t="s">
        <v>339</v>
      </c>
      <c r="Q40" s="9" t="s">
        <v>1380</v>
      </c>
    </row>
    <row r="41" spans="1:17" ht="38.25" x14ac:dyDescent="0.25">
      <c r="A41" s="7">
        <f t="shared" si="2"/>
        <v>34</v>
      </c>
      <c r="B41" s="7" t="s">
        <v>349</v>
      </c>
      <c r="C41" s="10" t="s">
        <v>1338</v>
      </c>
      <c r="D41" s="9" t="s">
        <v>350</v>
      </c>
      <c r="E41" s="9" t="s">
        <v>50</v>
      </c>
      <c r="F41" s="9" t="s">
        <v>51</v>
      </c>
      <c r="G41" s="7" t="s">
        <v>91</v>
      </c>
      <c r="H41" s="8">
        <f>COUNTIF('Risk Register'!$C$5:$C$297,B41)</f>
        <v>2</v>
      </c>
      <c r="I41" s="8">
        <f>_xlfn.MAXIFS('Risk Register'!$O$5:$O$297,'Risk Register'!$C$5:$C$297,B41)</f>
        <v>12</v>
      </c>
      <c r="J41" s="8">
        <f>_xlfn.MAXIFS('Risk Register'!$T$5:$T$297,'Risk Register'!$C$5:$C$297,B41)</f>
        <v>8</v>
      </c>
      <c r="K41" s="8" t="str">
        <f>IF(COUNTIFS('Risk Register'!$C$5:$C$297,B41,'Risk Register'!$U$5:$U$297,"Critical"),"Critical",IF(COUNTIFS('Risk Register'!$C$5:$C$297,B41,'Risk Register'!$U$5:$U$297,"High"),"High",IF(COUNTIFS('Risk Register'!$C$5:$C$297,B41,'Risk Register'!$U$5:$U$297,"Moderate"),"Moderate",IF(COUNTIFS('Risk Register'!$C$5:$C$297,B41,'Risk Register'!$U$5:$U$297,"Low"),"Low","Very Low"))))</f>
        <v>Moderate</v>
      </c>
      <c r="L41" s="7" t="s">
        <v>311</v>
      </c>
      <c r="M41" s="9" t="str">
        <f t="shared" si="3"/>
        <v>Differs - form states 6</v>
      </c>
      <c r="N41" s="7" t="s">
        <v>1352</v>
      </c>
      <c r="O41" s="9" t="s">
        <v>883</v>
      </c>
      <c r="P41" s="7" t="s">
        <v>91</v>
      </c>
      <c r="Q41" s="9" t="s">
        <v>1381</v>
      </c>
    </row>
    <row r="42" spans="1:17" ht="38.25" x14ac:dyDescent="0.25">
      <c r="A42" s="7">
        <f t="shared" si="2"/>
        <v>34</v>
      </c>
      <c r="B42" s="7" t="s">
        <v>417</v>
      </c>
      <c r="C42" s="10" t="s">
        <v>1338</v>
      </c>
      <c r="D42" s="9" t="s">
        <v>418</v>
      </c>
      <c r="E42" s="9" t="s">
        <v>50</v>
      </c>
      <c r="F42" s="9" t="s">
        <v>51</v>
      </c>
      <c r="G42" s="7" t="s">
        <v>71</v>
      </c>
      <c r="H42" s="8">
        <f>COUNTIF('Risk Register'!$C$5:$C$297,B42)</f>
        <v>3</v>
      </c>
      <c r="I42" s="8">
        <f>_xlfn.MAXIFS('Risk Register'!$O$5:$O$297,'Risk Register'!$C$5:$C$297,B42)</f>
        <v>12</v>
      </c>
      <c r="J42" s="8">
        <f>_xlfn.MAXIFS('Risk Register'!$T$5:$T$297,'Risk Register'!$C$5:$C$297,B42)</f>
        <v>8</v>
      </c>
      <c r="K42" s="8" t="str">
        <f>IF(COUNTIFS('Risk Register'!$C$5:$C$297,B42,'Risk Register'!$U$5:$U$297,"Critical"),"Critical",IF(COUNTIFS('Risk Register'!$C$5:$C$297,B42,'Risk Register'!$U$5:$U$297,"High"),"High",IF(COUNTIFS('Risk Register'!$C$5:$C$297,B42,'Risk Register'!$U$5:$U$297,"Moderate"),"Moderate",IF(COUNTIFS('Risk Register'!$C$5:$C$297,B42,'Risk Register'!$U$5:$U$297,"Low"),"Low","Very Low"))))</f>
        <v>Moderate</v>
      </c>
      <c r="L42" s="7" t="s">
        <v>316</v>
      </c>
      <c r="M42" s="9" t="str">
        <f t="shared" si="3"/>
        <v>Matches</v>
      </c>
      <c r="N42" s="7" t="s">
        <v>1352</v>
      </c>
      <c r="O42" s="9" t="s">
        <v>883</v>
      </c>
      <c r="P42" s="7" t="s">
        <v>71</v>
      </c>
      <c r="Q42" s="9" t="s">
        <v>1382</v>
      </c>
    </row>
    <row r="43" spans="1:17" ht="38.25" x14ac:dyDescent="0.25">
      <c r="A43" s="7">
        <f t="shared" si="2"/>
        <v>34</v>
      </c>
      <c r="B43" s="7" t="s">
        <v>443</v>
      </c>
      <c r="C43" s="10" t="s">
        <v>1338</v>
      </c>
      <c r="D43" s="9" t="s">
        <v>444</v>
      </c>
      <c r="E43" s="9" t="s">
        <v>445</v>
      </c>
      <c r="F43" s="9" t="s">
        <v>51</v>
      </c>
      <c r="G43" s="7" t="s">
        <v>71</v>
      </c>
      <c r="H43" s="8">
        <f>COUNTIF('Risk Register'!$C$5:$C$297,B43)</f>
        <v>2</v>
      </c>
      <c r="I43" s="8">
        <f>_xlfn.MAXIFS('Risk Register'!$O$5:$O$297,'Risk Register'!$C$5:$C$297,B43)</f>
        <v>12</v>
      </c>
      <c r="J43" s="8">
        <f>_xlfn.MAXIFS('Risk Register'!$T$5:$T$297,'Risk Register'!$C$5:$C$297,B43)</f>
        <v>8</v>
      </c>
      <c r="K43" s="8" t="str">
        <f>IF(COUNTIFS('Risk Register'!$C$5:$C$297,B43,'Risk Register'!$U$5:$U$297,"Critical"),"Critical",IF(COUNTIFS('Risk Register'!$C$5:$C$297,B43,'Risk Register'!$U$5:$U$297,"High"),"High",IF(COUNTIFS('Risk Register'!$C$5:$C$297,B43,'Risk Register'!$U$5:$U$297,"Moderate"),"Moderate",IF(COUNTIFS('Risk Register'!$C$5:$C$297,B43,'Risk Register'!$U$5:$U$297,"Low"),"Low","Very Low"))))</f>
        <v>Moderate</v>
      </c>
      <c r="L43" s="7" t="s">
        <v>316</v>
      </c>
      <c r="M43" s="9" t="str">
        <f t="shared" si="3"/>
        <v>Matches</v>
      </c>
      <c r="N43" s="7" t="s">
        <v>1352</v>
      </c>
      <c r="O43" s="9" t="s">
        <v>883</v>
      </c>
      <c r="P43" s="7" t="s">
        <v>71</v>
      </c>
      <c r="Q43" s="9" t="s">
        <v>1383</v>
      </c>
    </row>
    <row r="44" spans="1:17" ht="25.5" x14ac:dyDescent="0.25">
      <c r="A44" s="7">
        <f t="shared" si="2"/>
        <v>34</v>
      </c>
      <c r="B44" s="7" t="s">
        <v>369</v>
      </c>
      <c r="C44" s="10" t="s">
        <v>1338</v>
      </c>
      <c r="D44" s="9" t="s">
        <v>370</v>
      </c>
      <c r="E44" s="9" t="s">
        <v>36</v>
      </c>
      <c r="F44" s="9" t="s">
        <v>51</v>
      </c>
      <c r="G44" s="7" t="s">
        <v>91</v>
      </c>
      <c r="H44" s="8">
        <f>COUNTIF('Risk Register'!$C$5:$C$297,B44)</f>
        <v>3</v>
      </c>
      <c r="I44" s="8">
        <f>_xlfn.MAXIFS('Risk Register'!$O$5:$O$297,'Risk Register'!$C$5:$C$297,B44)</f>
        <v>12</v>
      </c>
      <c r="J44" s="8">
        <f>_xlfn.MAXIFS('Risk Register'!$T$5:$T$297,'Risk Register'!$C$5:$C$297,B44)</f>
        <v>8</v>
      </c>
      <c r="K44" s="8" t="str">
        <f>IF(COUNTIFS('Risk Register'!$C$5:$C$297,B44,'Risk Register'!$U$5:$U$297,"Critical"),"Critical",IF(COUNTIFS('Risk Register'!$C$5:$C$297,B44,'Risk Register'!$U$5:$U$297,"High"),"High",IF(COUNTIFS('Risk Register'!$C$5:$C$297,B44,'Risk Register'!$U$5:$U$297,"Moderate"),"Moderate",IF(COUNTIFS('Risk Register'!$C$5:$C$297,B44,'Risk Register'!$U$5:$U$297,"Low"),"Low","Very Low"))))</f>
        <v>Moderate</v>
      </c>
      <c r="L44" s="7" t="s">
        <v>311</v>
      </c>
      <c r="M44" s="9" t="str">
        <f t="shared" si="3"/>
        <v>Differs - form states 6</v>
      </c>
      <c r="N44" s="7" t="s">
        <v>1352</v>
      </c>
      <c r="O44" s="9" t="s">
        <v>883</v>
      </c>
      <c r="P44" s="7" t="s">
        <v>91</v>
      </c>
      <c r="Q44" s="9" t="s">
        <v>1384</v>
      </c>
    </row>
    <row r="45" spans="1:17" ht="25.5" x14ac:dyDescent="0.25">
      <c r="A45" s="7">
        <f t="shared" si="2"/>
        <v>34</v>
      </c>
      <c r="B45" s="7" t="s">
        <v>385</v>
      </c>
      <c r="C45" s="10" t="s">
        <v>1337</v>
      </c>
      <c r="D45" s="9" t="s">
        <v>386</v>
      </c>
      <c r="E45" s="9" t="s">
        <v>36</v>
      </c>
      <c r="F45" s="9" t="s">
        <v>51</v>
      </c>
      <c r="G45" s="7" t="s">
        <v>52</v>
      </c>
      <c r="H45" s="8">
        <f>COUNTIF('Risk Register'!$C$5:$C$297,B45)</f>
        <v>5</v>
      </c>
      <c r="I45" s="8">
        <f>_xlfn.MAXIFS('Risk Register'!$O$5:$O$297,'Risk Register'!$C$5:$C$297,B45)</f>
        <v>12</v>
      </c>
      <c r="J45" s="8">
        <f>_xlfn.MAXIFS('Risk Register'!$T$5:$T$297,'Risk Register'!$C$5:$C$297,B45)</f>
        <v>8</v>
      </c>
      <c r="K45" s="8" t="str">
        <f>IF(COUNTIFS('Risk Register'!$C$5:$C$297,B45,'Risk Register'!$U$5:$U$297,"Critical"),"Critical",IF(COUNTIFS('Risk Register'!$C$5:$C$297,B45,'Risk Register'!$U$5:$U$297,"High"),"High",IF(COUNTIFS('Risk Register'!$C$5:$C$297,B45,'Risk Register'!$U$5:$U$297,"Moderate"),"Moderate",IF(COUNTIFS('Risk Register'!$C$5:$C$297,B45,'Risk Register'!$U$5:$U$297,"Low"),"Low","Very Low"))))</f>
        <v>Moderate</v>
      </c>
      <c r="L45" s="7" t="s">
        <v>76</v>
      </c>
      <c r="M45" s="9" t="str">
        <f t="shared" si="3"/>
        <v>Differs - form states 9</v>
      </c>
      <c r="N45" s="7" t="s">
        <v>1352</v>
      </c>
      <c r="O45" s="9" t="s">
        <v>883</v>
      </c>
      <c r="P45" s="7" t="s">
        <v>1365</v>
      </c>
      <c r="Q45" s="9" t="s">
        <v>1374</v>
      </c>
    </row>
    <row r="46" spans="1:17" ht="38.25" x14ac:dyDescent="0.25">
      <c r="A46" s="7">
        <f t="shared" si="2"/>
        <v>34</v>
      </c>
      <c r="B46" s="7" t="s">
        <v>424</v>
      </c>
      <c r="C46" s="10" t="s">
        <v>1337</v>
      </c>
      <c r="D46" s="9" t="s">
        <v>418</v>
      </c>
      <c r="E46" s="9" t="s">
        <v>50</v>
      </c>
      <c r="F46" s="9" t="s">
        <v>51</v>
      </c>
      <c r="G46" s="7" t="s">
        <v>52</v>
      </c>
      <c r="H46" s="8">
        <f>COUNTIF('Risk Register'!$C$5:$C$297,B46)</f>
        <v>3</v>
      </c>
      <c r="I46" s="8">
        <f>_xlfn.MAXIFS('Risk Register'!$O$5:$O$297,'Risk Register'!$C$5:$C$297,B46)</f>
        <v>12</v>
      </c>
      <c r="J46" s="8">
        <f>_xlfn.MAXIFS('Risk Register'!$T$5:$T$297,'Risk Register'!$C$5:$C$297,B46)</f>
        <v>8</v>
      </c>
      <c r="K46" s="8" t="str">
        <f>IF(COUNTIFS('Risk Register'!$C$5:$C$297,B46,'Risk Register'!$U$5:$U$297,"Critical"),"Critical",IF(COUNTIFS('Risk Register'!$C$5:$C$297,B46,'Risk Register'!$U$5:$U$297,"High"),"High",IF(COUNTIFS('Risk Register'!$C$5:$C$297,B46,'Risk Register'!$U$5:$U$297,"Moderate"),"Moderate",IF(COUNTIFS('Risk Register'!$C$5:$C$297,B46,'Risk Register'!$U$5:$U$297,"Low"),"Low","Very Low"))))</f>
        <v>Moderate</v>
      </c>
      <c r="L46" s="7" t="s">
        <v>316</v>
      </c>
      <c r="M46" s="9" t="str">
        <f t="shared" si="3"/>
        <v>Matches</v>
      </c>
      <c r="N46" s="7" t="s">
        <v>1352</v>
      </c>
      <c r="O46" s="9" t="s">
        <v>883</v>
      </c>
      <c r="P46" s="7" t="s">
        <v>71</v>
      </c>
      <c r="Q46" s="9" t="s">
        <v>1382</v>
      </c>
    </row>
    <row r="47" spans="1:17" ht="25.5" x14ac:dyDescent="0.25">
      <c r="A47" s="7">
        <f t="shared" si="2"/>
        <v>34</v>
      </c>
      <c r="B47" s="7" t="s">
        <v>426</v>
      </c>
      <c r="C47" s="10" t="s">
        <v>1337</v>
      </c>
      <c r="D47" s="9" t="s">
        <v>427</v>
      </c>
      <c r="E47" s="9" t="s">
        <v>155</v>
      </c>
      <c r="F47" s="9" t="s">
        <v>180</v>
      </c>
      <c r="G47" s="7" t="s">
        <v>428</v>
      </c>
      <c r="H47" s="8">
        <f>COUNTIF('Risk Register'!$C$5:$C$297,B47)</f>
        <v>3</v>
      </c>
      <c r="I47" s="8">
        <f>_xlfn.MAXIFS('Risk Register'!$O$5:$O$297,'Risk Register'!$C$5:$C$297,B47)</f>
        <v>12</v>
      </c>
      <c r="J47" s="8">
        <f>_xlfn.MAXIFS('Risk Register'!$T$5:$T$297,'Risk Register'!$C$5:$C$297,B47)</f>
        <v>8</v>
      </c>
      <c r="K47" s="8" t="str">
        <f>IF(COUNTIFS('Risk Register'!$C$5:$C$297,B47,'Risk Register'!$U$5:$U$297,"Critical"),"Critical",IF(COUNTIFS('Risk Register'!$C$5:$C$297,B47,'Risk Register'!$U$5:$U$297,"High"),"High",IF(COUNTIFS('Risk Register'!$C$5:$C$297,B47,'Risk Register'!$U$5:$U$297,"Moderate"),"Moderate",IF(COUNTIFS('Risk Register'!$C$5:$C$297,B47,'Risk Register'!$U$5:$U$297,"Low"),"Low","Very Low"))))</f>
        <v>Moderate</v>
      </c>
      <c r="L47" s="7" t="s">
        <v>316</v>
      </c>
      <c r="M47" s="9" t="str">
        <f t="shared" si="3"/>
        <v>Matches</v>
      </c>
      <c r="N47" s="7" t="s">
        <v>1352</v>
      </c>
      <c r="O47" s="9" t="s">
        <v>97</v>
      </c>
      <c r="P47" s="7" t="s">
        <v>428</v>
      </c>
      <c r="Q47" s="9" t="s">
        <v>1385</v>
      </c>
    </row>
    <row r="48" spans="1:17" ht="25.5" x14ac:dyDescent="0.25">
      <c r="A48" s="7">
        <f t="shared" si="2"/>
        <v>34</v>
      </c>
      <c r="B48" s="7" t="s">
        <v>434</v>
      </c>
      <c r="C48" s="10" t="s">
        <v>1337</v>
      </c>
      <c r="D48" s="9" t="s">
        <v>435</v>
      </c>
      <c r="E48" s="9" t="s">
        <v>155</v>
      </c>
      <c r="F48" s="9" t="s">
        <v>180</v>
      </c>
      <c r="G48" s="7" t="s">
        <v>91</v>
      </c>
      <c r="H48" s="8">
        <f>COUNTIF('Risk Register'!$C$5:$C$297,B48)</f>
        <v>3</v>
      </c>
      <c r="I48" s="8">
        <f>_xlfn.MAXIFS('Risk Register'!$O$5:$O$297,'Risk Register'!$C$5:$C$297,B48)</f>
        <v>12</v>
      </c>
      <c r="J48" s="8">
        <f>_xlfn.MAXIFS('Risk Register'!$T$5:$T$297,'Risk Register'!$C$5:$C$297,B48)</f>
        <v>8</v>
      </c>
      <c r="K48" s="8" t="str">
        <f>IF(COUNTIFS('Risk Register'!$C$5:$C$297,B48,'Risk Register'!$U$5:$U$297,"Critical"),"Critical",IF(COUNTIFS('Risk Register'!$C$5:$C$297,B48,'Risk Register'!$U$5:$U$297,"High"),"High",IF(COUNTIFS('Risk Register'!$C$5:$C$297,B48,'Risk Register'!$U$5:$U$297,"Moderate"),"Moderate",IF(COUNTIFS('Risk Register'!$C$5:$C$297,B48,'Risk Register'!$U$5:$U$297,"Low"),"Low","Very Low"))))</f>
        <v>Moderate</v>
      </c>
      <c r="L48" s="7" t="s">
        <v>316</v>
      </c>
      <c r="M48" s="9" t="str">
        <f t="shared" si="3"/>
        <v>Matches</v>
      </c>
      <c r="N48" s="7" t="s">
        <v>1352</v>
      </c>
      <c r="O48" s="9" t="s">
        <v>97</v>
      </c>
      <c r="P48" s="7" t="s">
        <v>428</v>
      </c>
      <c r="Q48" s="9" t="s">
        <v>1385</v>
      </c>
    </row>
    <row r="49" spans="1:17" ht="38.25" x14ac:dyDescent="0.25">
      <c r="A49" s="7">
        <f t="shared" si="2"/>
        <v>34</v>
      </c>
      <c r="B49" s="7" t="s">
        <v>451</v>
      </c>
      <c r="C49" s="10" t="s">
        <v>1337</v>
      </c>
      <c r="D49" s="9" t="s">
        <v>444</v>
      </c>
      <c r="E49" s="9" t="s">
        <v>445</v>
      </c>
      <c r="F49" s="9" t="s">
        <v>51</v>
      </c>
      <c r="G49" s="7" t="s">
        <v>52</v>
      </c>
      <c r="H49" s="8">
        <f>COUNTIF('Risk Register'!$C$5:$C$297,B49)</f>
        <v>2</v>
      </c>
      <c r="I49" s="8">
        <f>_xlfn.MAXIFS('Risk Register'!$O$5:$O$297,'Risk Register'!$C$5:$C$297,B49)</f>
        <v>12</v>
      </c>
      <c r="J49" s="8">
        <f>_xlfn.MAXIFS('Risk Register'!$T$5:$T$297,'Risk Register'!$C$5:$C$297,B49)</f>
        <v>8</v>
      </c>
      <c r="K49" s="8" t="str">
        <f>IF(COUNTIFS('Risk Register'!$C$5:$C$297,B49,'Risk Register'!$U$5:$U$297,"Critical"),"Critical",IF(COUNTIFS('Risk Register'!$C$5:$C$297,B49,'Risk Register'!$U$5:$U$297,"High"),"High",IF(COUNTIFS('Risk Register'!$C$5:$C$297,B49,'Risk Register'!$U$5:$U$297,"Moderate"),"Moderate",IF(COUNTIFS('Risk Register'!$C$5:$C$297,B49,'Risk Register'!$U$5:$U$297,"Low"),"Low","Very Low"))))</f>
        <v>Moderate</v>
      </c>
      <c r="L49" s="7" t="s">
        <v>316</v>
      </c>
      <c r="M49" s="9" t="str">
        <f t="shared" si="3"/>
        <v>Matches</v>
      </c>
      <c r="N49" s="7" t="s">
        <v>1352</v>
      </c>
      <c r="O49" s="9" t="s">
        <v>883</v>
      </c>
      <c r="P49" s="7" t="s">
        <v>71</v>
      </c>
      <c r="Q49" s="9" t="s">
        <v>1383</v>
      </c>
    </row>
    <row r="50" spans="1:17" ht="25.5" x14ac:dyDescent="0.25">
      <c r="A50" s="7">
        <f t="shared" si="2"/>
        <v>34</v>
      </c>
      <c r="B50" s="7" t="s">
        <v>402</v>
      </c>
      <c r="C50" s="10" t="s">
        <v>1337</v>
      </c>
      <c r="D50" s="9" t="s">
        <v>403</v>
      </c>
      <c r="E50" s="9" t="s">
        <v>155</v>
      </c>
      <c r="F50" s="9" t="s">
        <v>51</v>
      </c>
      <c r="G50" s="7" t="s">
        <v>404</v>
      </c>
      <c r="H50" s="8">
        <f>COUNTIF('Risk Register'!$C$5:$C$297,B50)</f>
        <v>2</v>
      </c>
      <c r="I50" s="8">
        <f>_xlfn.MAXIFS('Risk Register'!$O$5:$O$297,'Risk Register'!$C$5:$C$297,B50)</f>
        <v>12</v>
      </c>
      <c r="J50" s="8">
        <f>_xlfn.MAXIFS('Risk Register'!$T$5:$T$297,'Risk Register'!$C$5:$C$297,B50)</f>
        <v>8</v>
      </c>
      <c r="K50" s="8" t="str">
        <f>IF(COUNTIFS('Risk Register'!$C$5:$C$297,B50,'Risk Register'!$U$5:$U$297,"Critical"),"Critical",IF(COUNTIFS('Risk Register'!$C$5:$C$297,B50,'Risk Register'!$U$5:$U$297,"High"),"High",IF(COUNTIFS('Risk Register'!$C$5:$C$297,B50,'Risk Register'!$U$5:$U$297,"Moderate"),"Moderate",IF(COUNTIFS('Risk Register'!$C$5:$C$297,B50,'Risk Register'!$U$5:$U$297,"Low"),"Low","Very Low"))))</f>
        <v>Moderate</v>
      </c>
      <c r="L50" s="7" t="s">
        <v>316</v>
      </c>
      <c r="M50" s="9" t="str">
        <f t="shared" si="3"/>
        <v>Matches</v>
      </c>
      <c r="N50" s="7" t="s">
        <v>1352</v>
      </c>
      <c r="O50" s="9" t="s">
        <v>1068</v>
      </c>
      <c r="P50" s="7" t="s">
        <v>404</v>
      </c>
      <c r="Q50" s="9" t="s">
        <v>1386</v>
      </c>
    </row>
    <row r="51" spans="1:17" ht="25.5" x14ac:dyDescent="0.25">
      <c r="A51" s="7">
        <f t="shared" si="2"/>
        <v>34</v>
      </c>
      <c r="B51" s="7" t="s">
        <v>410</v>
      </c>
      <c r="C51" s="10" t="s">
        <v>1337</v>
      </c>
      <c r="D51" s="9" t="s">
        <v>411</v>
      </c>
      <c r="E51" s="9" t="s">
        <v>155</v>
      </c>
      <c r="F51" s="9" t="s">
        <v>51</v>
      </c>
      <c r="G51" s="7" t="s">
        <v>404</v>
      </c>
      <c r="H51" s="8">
        <f>COUNTIF('Risk Register'!$C$5:$C$297,B51)</f>
        <v>2</v>
      </c>
      <c r="I51" s="8">
        <f>_xlfn.MAXIFS('Risk Register'!$O$5:$O$297,'Risk Register'!$C$5:$C$297,B51)</f>
        <v>12</v>
      </c>
      <c r="J51" s="8">
        <f>_xlfn.MAXIFS('Risk Register'!$T$5:$T$297,'Risk Register'!$C$5:$C$297,B51)</f>
        <v>8</v>
      </c>
      <c r="K51" s="8" t="str">
        <f>IF(COUNTIFS('Risk Register'!$C$5:$C$297,B51,'Risk Register'!$U$5:$U$297,"Critical"),"Critical",IF(COUNTIFS('Risk Register'!$C$5:$C$297,B51,'Risk Register'!$U$5:$U$297,"High"),"High",IF(COUNTIFS('Risk Register'!$C$5:$C$297,B51,'Risk Register'!$U$5:$U$297,"Moderate"),"Moderate",IF(COUNTIFS('Risk Register'!$C$5:$C$297,B51,'Risk Register'!$U$5:$U$297,"Low"),"Low","Very Low"))))</f>
        <v>Moderate</v>
      </c>
      <c r="L51" s="7" t="s">
        <v>316</v>
      </c>
      <c r="M51" s="9" t="str">
        <f t="shared" si="3"/>
        <v>Matches</v>
      </c>
      <c r="N51" s="7" t="s">
        <v>1352</v>
      </c>
      <c r="O51" s="9" t="s">
        <v>1068</v>
      </c>
      <c r="P51" s="7" t="s">
        <v>404</v>
      </c>
      <c r="Q51" s="9" t="s">
        <v>1386</v>
      </c>
    </row>
    <row r="52" spans="1:17" ht="25.5" x14ac:dyDescent="0.25">
      <c r="A52" s="7">
        <f t="shared" si="2"/>
        <v>48</v>
      </c>
      <c r="B52" s="7" t="s">
        <v>504</v>
      </c>
      <c r="C52" s="10" t="s">
        <v>1338</v>
      </c>
      <c r="D52" s="9" t="s">
        <v>505</v>
      </c>
      <c r="E52" s="9" t="s">
        <v>155</v>
      </c>
      <c r="F52" s="9" t="s">
        <v>51</v>
      </c>
      <c r="G52" s="7" t="s">
        <v>506</v>
      </c>
      <c r="H52" s="8">
        <f>COUNTIF('Risk Register'!$C$5:$C$297,B52)</f>
        <v>5</v>
      </c>
      <c r="I52" s="8">
        <f>_xlfn.MAXIFS('Risk Register'!$O$5:$O$297,'Risk Register'!$C$5:$C$297,B52)</f>
        <v>20</v>
      </c>
      <c r="J52" s="8">
        <f>_xlfn.MAXIFS('Risk Register'!$T$5:$T$297,'Risk Register'!$C$5:$C$297,B52)</f>
        <v>6</v>
      </c>
      <c r="K52" s="8" t="str">
        <f>IF(COUNTIFS('Risk Register'!$C$5:$C$297,B52,'Risk Register'!$U$5:$U$297,"Critical"),"Critical",IF(COUNTIFS('Risk Register'!$C$5:$C$297,B52,'Risk Register'!$U$5:$U$297,"High"),"High",IF(COUNTIFS('Risk Register'!$C$5:$C$297,B52,'Risk Register'!$U$5:$U$297,"Moderate"),"Moderate",IF(COUNTIFS('Risk Register'!$C$5:$C$297,B52,'Risk Register'!$U$5:$U$297,"Low"),"Low","Very Low"))))</f>
        <v>Moderate</v>
      </c>
      <c r="L52" s="7" t="s">
        <v>76</v>
      </c>
      <c r="M52" s="9" t="str">
        <f t="shared" si="3"/>
        <v>Differs - form states 9</v>
      </c>
      <c r="N52" s="7" t="s">
        <v>1352</v>
      </c>
      <c r="O52" s="9" t="s">
        <v>1360</v>
      </c>
      <c r="P52" s="7" t="s">
        <v>525</v>
      </c>
      <c r="Q52" s="9" t="s">
        <v>1387</v>
      </c>
    </row>
    <row r="53" spans="1:17" ht="25.5" x14ac:dyDescent="0.25">
      <c r="A53" s="7">
        <f t="shared" si="2"/>
        <v>48</v>
      </c>
      <c r="B53" s="7" t="s">
        <v>524</v>
      </c>
      <c r="C53" s="10" t="s">
        <v>1337</v>
      </c>
      <c r="D53" s="9" t="s">
        <v>505</v>
      </c>
      <c r="E53" s="9" t="s">
        <v>155</v>
      </c>
      <c r="F53" s="9" t="s">
        <v>295</v>
      </c>
      <c r="G53" s="7" t="s">
        <v>525</v>
      </c>
      <c r="H53" s="8">
        <f>COUNTIF('Risk Register'!$C$5:$C$297,B53)</f>
        <v>5</v>
      </c>
      <c r="I53" s="8">
        <f>_xlfn.MAXIFS('Risk Register'!$O$5:$O$297,'Risk Register'!$C$5:$C$297,B53)</f>
        <v>20</v>
      </c>
      <c r="J53" s="8">
        <f>_xlfn.MAXIFS('Risk Register'!$T$5:$T$297,'Risk Register'!$C$5:$C$297,B53)</f>
        <v>6</v>
      </c>
      <c r="K53" s="8" t="str">
        <f>IF(COUNTIFS('Risk Register'!$C$5:$C$297,B53,'Risk Register'!$U$5:$U$297,"Critical"),"Critical",IF(COUNTIFS('Risk Register'!$C$5:$C$297,B53,'Risk Register'!$U$5:$U$297,"High"),"High",IF(COUNTIFS('Risk Register'!$C$5:$C$297,B53,'Risk Register'!$U$5:$U$297,"Moderate"),"Moderate",IF(COUNTIFS('Risk Register'!$C$5:$C$297,B53,'Risk Register'!$U$5:$U$297,"Low"),"Low","Very Low"))))</f>
        <v>Moderate</v>
      </c>
      <c r="L53" s="7" t="s">
        <v>76</v>
      </c>
      <c r="M53" s="9" t="str">
        <f t="shared" si="3"/>
        <v>Differs - form states 9</v>
      </c>
      <c r="N53" s="7" t="s">
        <v>1352</v>
      </c>
      <c r="O53" s="9" t="s">
        <v>1360</v>
      </c>
      <c r="P53" s="7" t="s">
        <v>525</v>
      </c>
      <c r="Q53" s="9" t="s">
        <v>1387</v>
      </c>
    </row>
    <row r="54" spans="1:17" ht="25.5" x14ac:dyDescent="0.25">
      <c r="A54" s="7">
        <f t="shared" si="2"/>
        <v>48</v>
      </c>
      <c r="B54" s="7" t="s">
        <v>483</v>
      </c>
      <c r="C54" s="10" t="s">
        <v>1338</v>
      </c>
      <c r="D54" s="9" t="s">
        <v>484</v>
      </c>
      <c r="E54" s="9" t="s">
        <v>36</v>
      </c>
      <c r="F54" s="9" t="s">
        <v>51</v>
      </c>
      <c r="G54" s="7" t="s">
        <v>91</v>
      </c>
      <c r="H54" s="8">
        <f>COUNTIF('Risk Register'!$C$5:$C$297,B54)</f>
        <v>3</v>
      </c>
      <c r="I54" s="8">
        <f>_xlfn.MAXIFS('Risk Register'!$O$5:$O$297,'Risk Register'!$C$5:$C$297,B54)</f>
        <v>15</v>
      </c>
      <c r="J54" s="8">
        <f>_xlfn.MAXIFS('Risk Register'!$T$5:$T$297,'Risk Register'!$C$5:$C$297,B54)</f>
        <v>6</v>
      </c>
      <c r="K54" s="8" t="str">
        <f>IF(COUNTIFS('Risk Register'!$C$5:$C$297,B54,'Risk Register'!$U$5:$U$297,"Critical"),"Critical",IF(COUNTIFS('Risk Register'!$C$5:$C$297,B54,'Risk Register'!$U$5:$U$297,"High"),"High",IF(COUNTIFS('Risk Register'!$C$5:$C$297,B54,'Risk Register'!$U$5:$U$297,"Moderate"),"Moderate",IF(COUNTIFS('Risk Register'!$C$5:$C$297,B54,'Risk Register'!$U$5:$U$297,"Low"),"Low","Very Low"))))</f>
        <v>Moderate</v>
      </c>
      <c r="L54" s="7" t="s">
        <v>311</v>
      </c>
      <c r="M54" s="9" t="str">
        <f t="shared" si="3"/>
        <v>Matches</v>
      </c>
      <c r="N54" s="7" t="s">
        <v>1352</v>
      </c>
      <c r="O54" s="9" t="s">
        <v>883</v>
      </c>
      <c r="P54" s="7" t="s">
        <v>1369</v>
      </c>
      <c r="Q54" s="9" t="s">
        <v>1388</v>
      </c>
    </row>
    <row r="55" spans="1:17" ht="25.5" x14ac:dyDescent="0.25">
      <c r="A55" s="7">
        <f t="shared" si="2"/>
        <v>48</v>
      </c>
      <c r="B55" s="7" t="s">
        <v>535</v>
      </c>
      <c r="C55" s="10" t="s">
        <v>1338</v>
      </c>
      <c r="D55" s="9" t="s">
        <v>536</v>
      </c>
      <c r="E55" s="9" t="s">
        <v>155</v>
      </c>
      <c r="F55" s="9" t="s">
        <v>51</v>
      </c>
      <c r="G55" s="7" t="s">
        <v>91</v>
      </c>
      <c r="H55" s="8">
        <f>COUNTIF('Risk Register'!$C$5:$C$297,B55)</f>
        <v>2</v>
      </c>
      <c r="I55" s="8">
        <f>_xlfn.MAXIFS('Risk Register'!$O$5:$O$297,'Risk Register'!$C$5:$C$297,B55)</f>
        <v>15</v>
      </c>
      <c r="J55" s="8">
        <f>_xlfn.MAXIFS('Risk Register'!$T$5:$T$297,'Risk Register'!$C$5:$C$297,B55)</f>
        <v>6</v>
      </c>
      <c r="K55" s="8" t="str">
        <f>IF(COUNTIFS('Risk Register'!$C$5:$C$297,B55,'Risk Register'!$U$5:$U$297,"Critical"),"Critical",IF(COUNTIFS('Risk Register'!$C$5:$C$297,B55,'Risk Register'!$U$5:$U$297,"High"),"High",IF(COUNTIFS('Risk Register'!$C$5:$C$297,B55,'Risk Register'!$U$5:$U$297,"Moderate"),"Moderate",IF(COUNTIFS('Risk Register'!$C$5:$C$297,B55,'Risk Register'!$U$5:$U$297,"Low"),"Low","Very Low"))))</f>
        <v>Moderate</v>
      </c>
      <c r="L55" s="7" t="s">
        <v>311</v>
      </c>
      <c r="M55" s="9" t="str">
        <f t="shared" si="3"/>
        <v>Matches</v>
      </c>
      <c r="N55" s="7" t="s">
        <v>1352</v>
      </c>
      <c r="O55" s="9" t="s">
        <v>883</v>
      </c>
      <c r="P55" s="7" t="s">
        <v>1369</v>
      </c>
      <c r="Q55" s="9" t="s">
        <v>1389</v>
      </c>
    </row>
    <row r="56" spans="1:17" ht="38.25" x14ac:dyDescent="0.25">
      <c r="A56" s="7">
        <f t="shared" si="2"/>
        <v>48</v>
      </c>
      <c r="B56" s="7" t="s">
        <v>547</v>
      </c>
      <c r="C56" s="10" t="s">
        <v>1338</v>
      </c>
      <c r="D56" s="9" t="s">
        <v>548</v>
      </c>
      <c r="E56" s="9" t="s">
        <v>232</v>
      </c>
      <c r="F56" s="9" t="s">
        <v>51</v>
      </c>
      <c r="G56" s="7" t="s">
        <v>549</v>
      </c>
      <c r="H56" s="8">
        <f>COUNTIF('Risk Register'!$C$5:$C$297,B56)</f>
        <v>3</v>
      </c>
      <c r="I56" s="8">
        <f>_xlfn.MAXIFS('Risk Register'!$O$5:$O$297,'Risk Register'!$C$5:$C$297,B56)</f>
        <v>15</v>
      </c>
      <c r="J56" s="8">
        <f>_xlfn.MAXIFS('Risk Register'!$T$5:$T$297,'Risk Register'!$C$5:$C$297,B56)</f>
        <v>6</v>
      </c>
      <c r="K56" s="8" t="str">
        <f>IF(COUNTIFS('Risk Register'!$C$5:$C$297,B56,'Risk Register'!$U$5:$U$297,"Critical"),"Critical",IF(COUNTIFS('Risk Register'!$C$5:$C$297,B56,'Risk Register'!$U$5:$U$297,"High"),"High",IF(COUNTIFS('Risk Register'!$C$5:$C$297,B56,'Risk Register'!$U$5:$U$297,"Moderate"),"Moderate",IF(COUNTIFS('Risk Register'!$C$5:$C$297,B56,'Risk Register'!$U$5:$U$297,"Low"),"Low","Very Low"))))</f>
        <v>Moderate</v>
      </c>
      <c r="L56" s="7" t="s">
        <v>316</v>
      </c>
      <c r="M56" s="9" t="str">
        <f t="shared" si="3"/>
        <v>Differs - form states 8</v>
      </c>
      <c r="N56" s="7" t="s">
        <v>1390</v>
      </c>
      <c r="O56" s="9"/>
      <c r="P56" s="7"/>
      <c r="Q56" s="9"/>
    </row>
    <row r="57" spans="1:17" ht="25.5" x14ac:dyDescent="0.25">
      <c r="A57" s="7">
        <f t="shared" si="2"/>
        <v>48</v>
      </c>
      <c r="B57" s="7" t="s">
        <v>474</v>
      </c>
      <c r="C57" s="10" t="s">
        <v>1338</v>
      </c>
      <c r="D57" s="9" t="s">
        <v>475</v>
      </c>
      <c r="E57" s="9" t="s">
        <v>36</v>
      </c>
      <c r="F57" s="9" t="s">
        <v>51</v>
      </c>
      <c r="G57" s="7" t="s">
        <v>91</v>
      </c>
      <c r="H57" s="8">
        <f>COUNTIF('Risk Register'!$C$5:$C$297,B57)</f>
        <v>4</v>
      </c>
      <c r="I57" s="8">
        <f>_xlfn.MAXIFS('Risk Register'!$O$5:$O$297,'Risk Register'!$C$5:$C$297,B57)</f>
        <v>15</v>
      </c>
      <c r="J57" s="8">
        <f>_xlfn.MAXIFS('Risk Register'!$T$5:$T$297,'Risk Register'!$C$5:$C$297,B57)</f>
        <v>6</v>
      </c>
      <c r="K57" s="8" t="str">
        <f>IF(COUNTIFS('Risk Register'!$C$5:$C$297,B57,'Risk Register'!$U$5:$U$297,"Critical"),"Critical",IF(COUNTIFS('Risk Register'!$C$5:$C$297,B57,'Risk Register'!$U$5:$U$297,"High"),"High",IF(COUNTIFS('Risk Register'!$C$5:$C$297,B57,'Risk Register'!$U$5:$U$297,"Moderate"),"Moderate",IF(COUNTIFS('Risk Register'!$C$5:$C$297,B57,'Risk Register'!$U$5:$U$297,"Low"),"Low","Very Low"))))</f>
        <v>Moderate</v>
      </c>
      <c r="L57" s="7" t="s">
        <v>76</v>
      </c>
      <c r="M57" s="9" t="str">
        <f t="shared" si="3"/>
        <v>Differs - form states 9</v>
      </c>
      <c r="N57" s="7" t="s">
        <v>1352</v>
      </c>
      <c r="O57" s="9" t="s">
        <v>883</v>
      </c>
      <c r="P57" s="7" t="s">
        <v>91</v>
      </c>
      <c r="Q57" s="9" t="s">
        <v>1391</v>
      </c>
    </row>
    <row r="58" spans="1:17" ht="38.25" x14ac:dyDescent="0.25">
      <c r="A58" s="7">
        <f t="shared" si="2"/>
        <v>48</v>
      </c>
      <c r="B58" s="7" t="s">
        <v>555</v>
      </c>
      <c r="C58" s="10" t="s">
        <v>1337</v>
      </c>
      <c r="D58" s="9" t="s">
        <v>548</v>
      </c>
      <c r="E58" s="9" t="s">
        <v>232</v>
      </c>
      <c r="F58" s="9" t="s">
        <v>51</v>
      </c>
      <c r="G58" s="7" t="s">
        <v>549</v>
      </c>
      <c r="H58" s="8">
        <f>COUNTIF('Risk Register'!$C$5:$C$297,B58)</f>
        <v>3</v>
      </c>
      <c r="I58" s="8">
        <f>_xlfn.MAXIFS('Risk Register'!$O$5:$O$297,'Risk Register'!$C$5:$C$297,B58)</f>
        <v>15</v>
      </c>
      <c r="J58" s="8">
        <f>_xlfn.MAXIFS('Risk Register'!$T$5:$T$297,'Risk Register'!$C$5:$C$297,B58)</f>
        <v>6</v>
      </c>
      <c r="K58" s="8" t="str">
        <f>IF(COUNTIFS('Risk Register'!$C$5:$C$297,B58,'Risk Register'!$U$5:$U$297,"Critical"),"Critical",IF(COUNTIFS('Risk Register'!$C$5:$C$297,B58,'Risk Register'!$U$5:$U$297,"High"),"High",IF(COUNTIFS('Risk Register'!$C$5:$C$297,B58,'Risk Register'!$U$5:$U$297,"Moderate"),"Moderate",IF(COUNTIFS('Risk Register'!$C$5:$C$297,B58,'Risk Register'!$U$5:$U$297,"Low"),"Low","Very Low"))))</f>
        <v>Moderate</v>
      </c>
      <c r="L58" s="7" t="s">
        <v>316</v>
      </c>
      <c r="M58" s="9" t="str">
        <f t="shared" si="3"/>
        <v>Differs - form states 8</v>
      </c>
      <c r="N58" s="7" t="s">
        <v>1390</v>
      </c>
      <c r="O58" s="9"/>
      <c r="P58" s="7"/>
      <c r="Q58" s="9"/>
    </row>
    <row r="59" spans="1:17" ht="25.5" x14ac:dyDescent="0.25">
      <c r="A59" s="7">
        <f t="shared" si="2"/>
        <v>48</v>
      </c>
      <c r="B59" s="7" t="s">
        <v>481</v>
      </c>
      <c r="C59" s="10" t="s">
        <v>1337</v>
      </c>
      <c r="D59" s="9" t="s">
        <v>475</v>
      </c>
      <c r="E59" s="9" t="s">
        <v>36</v>
      </c>
      <c r="F59" s="9" t="s">
        <v>51</v>
      </c>
      <c r="G59" s="7" t="s">
        <v>52</v>
      </c>
      <c r="H59" s="8">
        <f>COUNTIF('Risk Register'!$C$5:$C$297,B59)</f>
        <v>4</v>
      </c>
      <c r="I59" s="8">
        <f>_xlfn.MAXIFS('Risk Register'!$O$5:$O$297,'Risk Register'!$C$5:$C$297,B59)</f>
        <v>15</v>
      </c>
      <c r="J59" s="8">
        <f>_xlfn.MAXIFS('Risk Register'!$T$5:$T$297,'Risk Register'!$C$5:$C$297,B59)</f>
        <v>6</v>
      </c>
      <c r="K59" s="8" t="str">
        <f>IF(COUNTIFS('Risk Register'!$C$5:$C$297,B59,'Risk Register'!$U$5:$U$297,"Critical"),"Critical",IF(COUNTIFS('Risk Register'!$C$5:$C$297,B59,'Risk Register'!$U$5:$U$297,"High"),"High",IF(COUNTIFS('Risk Register'!$C$5:$C$297,B59,'Risk Register'!$U$5:$U$297,"Moderate"),"Moderate",IF(COUNTIFS('Risk Register'!$C$5:$C$297,B59,'Risk Register'!$U$5:$U$297,"Low"),"Low","Very Low"))))</f>
        <v>Moderate</v>
      </c>
      <c r="L59" s="7" t="s">
        <v>76</v>
      </c>
      <c r="M59" s="9" t="str">
        <f t="shared" si="3"/>
        <v>Differs - form states 9</v>
      </c>
      <c r="N59" s="7" t="s">
        <v>1352</v>
      </c>
      <c r="O59" s="9" t="s">
        <v>883</v>
      </c>
      <c r="P59" s="7" t="s">
        <v>91</v>
      </c>
      <c r="Q59" s="9" t="s">
        <v>1391</v>
      </c>
    </row>
    <row r="60" spans="1:17" ht="25.5" x14ac:dyDescent="0.25">
      <c r="A60" s="7">
        <f t="shared" si="2"/>
        <v>48</v>
      </c>
      <c r="B60" s="7" t="s">
        <v>527</v>
      </c>
      <c r="C60" s="10" t="s">
        <v>1338</v>
      </c>
      <c r="D60" s="9" t="s">
        <v>528</v>
      </c>
      <c r="E60" s="9" t="s">
        <v>36</v>
      </c>
      <c r="F60" s="9" t="s">
        <v>51</v>
      </c>
      <c r="G60" s="7" t="s">
        <v>91</v>
      </c>
      <c r="H60" s="8">
        <f>COUNTIF('Risk Register'!$C$5:$C$297,B60)</f>
        <v>2</v>
      </c>
      <c r="I60" s="8">
        <f>_xlfn.MAXIFS('Risk Register'!$O$5:$O$297,'Risk Register'!$C$5:$C$297,B60)</f>
        <v>12</v>
      </c>
      <c r="J60" s="8">
        <f>_xlfn.MAXIFS('Risk Register'!$T$5:$T$297,'Risk Register'!$C$5:$C$297,B60)</f>
        <v>6</v>
      </c>
      <c r="K60" s="8" t="str">
        <f>IF(COUNTIFS('Risk Register'!$C$5:$C$297,B60,'Risk Register'!$U$5:$U$297,"Critical"),"Critical",IF(COUNTIFS('Risk Register'!$C$5:$C$297,B60,'Risk Register'!$U$5:$U$297,"High"),"High",IF(COUNTIFS('Risk Register'!$C$5:$C$297,B60,'Risk Register'!$U$5:$U$297,"Moderate"),"Moderate",IF(COUNTIFS('Risk Register'!$C$5:$C$297,B60,'Risk Register'!$U$5:$U$297,"Low"),"Low","Very Low"))))</f>
        <v>Moderate</v>
      </c>
      <c r="L60" s="7" t="s">
        <v>311</v>
      </c>
      <c r="M60" s="9" t="str">
        <f t="shared" si="3"/>
        <v>Matches</v>
      </c>
      <c r="N60" s="7" t="s">
        <v>1352</v>
      </c>
      <c r="O60" s="9" t="s">
        <v>883</v>
      </c>
      <c r="P60" s="7" t="s">
        <v>91</v>
      </c>
      <c r="Q60" s="9" t="s">
        <v>1367</v>
      </c>
    </row>
    <row r="61" spans="1:17" ht="63.75" x14ac:dyDescent="0.25">
      <c r="A61" s="7">
        <f t="shared" si="2"/>
        <v>48</v>
      </c>
      <c r="B61" s="7" t="s">
        <v>498</v>
      </c>
      <c r="C61" s="10" t="s">
        <v>1338</v>
      </c>
      <c r="D61" s="9" t="s">
        <v>499</v>
      </c>
      <c r="E61" s="9" t="s">
        <v>170</v>
      </c>
      <c r="F61" s="9" t="s">
        <v>51</v>
      </c>
      <c r="G61" s="7" t="s">
        <v>71</v>
      </c>
      <c r="H61" s="8">
        <f>COUNTIF('Risk Register'!$C$5:$C$297,B61)</f>
        <v>2</v>
      </c>
      <c r="I61" s="8">
        <f>_xlfn.MAXIFS('Risk Register'!$O$5:$O$297,'Risk Register'!$C$5:$C$297,B61)</f>
        <v>12</v>
      </c>
      <c r="J61" s="8">
        <f>_xlfn.MAXIFS('Risk Register'!$T$5:$T$297,'Risk Register'!$C$5:$C$297,B61)</f>
        <v>6</v>
      </c>
      <c r="K61" s="8" t="str">
        <f>IF(COUNTIFS('Risk Register'!$C$5:$C$297,B61,'Risk Register'!$U$5:$U$297,"Critical"),"Critical",IF(COUNTIFS('Risk Register'!$C$5:$C$297,B61,'Risk Register'!$U$5:$U$297,"High"),"High",IF(COUNTIFS('Risk Register'!$C$5:$C$297,B61,'Risk Register'!$U$5:$U$297,"Moderate"),"Moderate",IF(COUNTIFS('Risk Register'!$C$5:$C$297,B61,'Risk Register'!$U$5:$U$297,"Low"),"Low","Very Low"))))</f>
        <v>Moderate</v>
      </c>
      <c r="L61" s="7" t="s">
        <v>311</v>
      </c>
      <c r="M61" s="9" t="str">
        <f t="shared" si="3"/>
        <v>Matches</v>
      </c>
      <c r="N61" s="7" t="s">
        <v>1352</v>
      </c>
      <c r="O61" s="9" t="s">
        <v>883</v>
      </c>
      <c r="P61" s="7" t="s">
        <v>1392</v>
      </c>
      <c r="Q61" s="9" t="s">
        <v>1393</v>
      </c>
    </row>
    <row r="62" spans="1:17" x14ac:dyDescent="0.25">
      <c r="A62" s="7">
        <f t="shared" si="2"/>
        <v>48</v>
      </c>
      <c r="B62" s="7" t="s">
        <v>511</v>
      </c>
      <c r="C62" s="10" t="s">
        <v>1337</v>
      </c>
      <c r="D62" s="9" t="s">
        <v>512</v>
      </c>
      <c r="E62" s="9" t="s">
        <v>232</v>
      </c>
      <c r="F62" s="9" t="s">
        <v>180</v>
      </c>
      <c r="G62" s="7" t="s">
        <v>357</v>
      </c>
      <c r="H62" s="8">
        <f>COUNTIF('Risk Register'!$C$5:$C$297,B62)</f>
        <v>2</v>
      </c>
      <c r="I62" s="8">
        <f>_xlfn.MAXIFS('Risk Register'!$O$5:$O$297,'Risk Register'!$C$5:$C$297,B62)</f>
        <v>12</v>
      </c>
      <c r="J62" s="8">
        <f>_xlfn.MAXIFS('Risk Register'!$T$5:$T$297,'Risk Register'!$C$5:$C$297,B62)</f>
        <v>6</v>
      </c>
      <c r="K62" s="8" t="str">
        <f>IF(COUNTIFS('Risk Register'!$C$5:$C$297,B62,'Risk Register'!$U$5:$U$297,"Critical"),"Critical",IF(COUNTIFS('Risk Register'!$C$5:$C$297,B62,'Risk Register'!$U$5:$U$297,"High"),"High",IF(COUNTIFS('Risk Register'!$C$5:$C$297,B62,'Risk Register'!$U$5:$U$297,"Moderate"),"Moderate",IF(COUNTIFS('Risk Register'!$C$5:$C$297,B62,'Risk Register'!$U$5:$U$297,"Low"),"Low","Very Low"))))</f>
        <v>Moderate</v>
      </c>
      <c r="L62" s="7" t="s">
        <v>759</v>
      </c>
      <c r="M62" s="9" t="str">
        <f t="shared" si="3"/>
        <v>Differs - form states 3</v>
      </c>
      <c r="N62" s="7" t="s">
        <v>1352</v>
      </c>
      <c r="O62" s="9" t="s">
        <v>97</v>
      </c>
      <c r="P62" s="7" t="s">
        <v>357</v>
      </c>
      <c r="Q62" s="9" t="s">
        <v>1394</v>
      </c>
    </row>
    <row r="63" spans="1:17" ht="25.5" x14ac:dyDescent="0.25">
      <c r="A63" s="7">
        <f t="shared" si="2"/>
        <v>48</v>
      </c>
      <c r="B63" s="7" t="s">
        <v>561</v>
      </c>
      <c r="C63" s="10" t="s">
        <v>1338</v>
      </c>
      <c r="D63" s="9" t="s">
        <v>562</v>
      </c>
      <c r="E63" s="9" t="s">
        <v>155</v>
      </c>
      <c r="F63" s="9" t="s">
        <v>51</v>
      </c>
      <c r="G63" s="7" t="s">
        <v>563</v>
      </c>
      <c r="H63" s="8">
        <f>COUNTIF('Risk Register'!$C$5:$C$297,B63)</f>
        <v>2</v>
      </c>
      <c r="I63" s="8">
        <f>_xlfn.MAXIFS('Risk Register'!$O$5:$O$297,'Risk Register'!$C$5:$C$297,B63)</f>
        <v>9</v>
      </c>
      <c r="J63" s="8">
        <f>_xlfn.MAXIFS('Risk Register'!$T$5:$T$297,'Risk Register'!$C$5:$C$297,B63)</f>
        <v>6</v>
      </c>
      <c r="K63" s="8" t="str">
        <f>IF(COUNTIFS('Risk Register'!$C$5:$C$297,B63,'Risk Register'!$U$5:$U$297,"Critical"),"Critical",IF(COUNTIFS('Risk Register'!$C$5:$C$297,B63,'Risk Register'!$U$5:$U$297,"High"),"High",IF(COUNTIFS('Risk Register'!$C$5:$C$297,B63,'Risk Register'!$U$5:$U$297,"Moderate"),"Moderate",IF(COUNTIFS('Risk Register'!$C$5:$C$297,B63,'Risk Register'!$U$5:$U$297,"Low"),"Low","Very Low"))))</f>
        <v>Moderate</v>
      </c>
      <c r="L63" s="7" t="s">
        <v>311</v>
      </c>
      <c r="M63" s="9" t="str">
        <f t="shared" si="3"/>
        <v>Matches</v>
      </c>
      <c r="N63" s="7" t="s">
        <v>1352</v>
      </c>
      <c r="O63" s="9" t="s">
        <v>97</v>
      </c>
      <c r="P63" s="7" t="s">
        <v>597</v>
      </c>
      <c r="Q63" s="9" t="s">
        <v>1395</v>
      </c>
    </row>
    <row r="64" spans="1:17" ht="38.25" x14ac:dyDescent="0.25">
      <c r="A64" s="7">
        <f t="shared" si="2"/>
        <v>48</v>
      </c>
      <c r="B64" s="7" t="s">
        <v>639</v>
      </c>
      <c r="C64" s="10" t="s">
        <v>1338</v>
      </c>
      <c r="D64" s="9" t="s">
        <v>640</v>
      </c>
      <c r="E64" s="9" t="s">
        <v>50</v>
      </c>
      <c r="F64" s="9" t="s">
        <v>51</v>
      </c>
      <c r="G64" s="7" t="s">
        <v>91</v>
      </c>
      <c r="H64" s="8">
        <f>COUNTIF('Risk Register'!$C$5:$C$297,B64)</f>
        <v>4</v>
      </c>
      <c r="I64" s="8">
        <f>_xlfn.MAXIFS('Risk Register'!$O$5:$O$297,'Risk Register'!$C$5:$C$297,B64)</f>
        <v>9</v>
      </c>
      <c r="J64" s="8">
        <f>_xlfn.MAXIFS('Risk Register'!$T$5:$T$297,'Risk Register'!$C$5:$C$297,B64)</f>
        <v>6</v>
      </c>
      <c r="K64" s="8" t="str">
        <f>IF(COUNTIFS('Risk Register'!$C$5:$C$297,B64,'Risk Register'!$U$5:$U$297,"Critical"),"Critical",IF(COUNTIFS('Risk Register'!$C$5:$C$297,B64,'Risk Register'!$U$5:$U$297,"High"),"High",IF(COUNTIFS('Risk Register'!$C$5:$C$297,B64,'Risk Register'!$U$5:$U$297,"Moderate"),"Moderate",IF(COUNTIFS('Risk Register'!$C$5:$C$297,B64,'Risk Register'!$U$5:$U$297,"Low"),"Low","Very Low"))))</f>
        <v>Moderate</v>
      </c>
      <c r="L64" s="7" t="s">
        <v>311</v>
      </c>
      <c r="M64" s="9" t="str">
        <f t="shared" si="3"/>
        <v>Matches</v>
      </c>
      <c r="N64" s="7" t="s">
        <v>1352</v>
      </c>
      <c r="O64" s="9" t="s">
        <v>883</v>
      </c>
      <c r="P64" s="7" t="s">
        <v>91</v>
      </c>
      <c r="Q64" s="9" t="s">
        <v>1384</v>
      </c>
    </row>
    <row r="65" spans="1:17" ht="38.25" x14ac:dyDescent="0.25">
      <c r="A65" s="7">
        <f t="shared" si="2"/>
        <v>48</v>
      </c>
      <c r="B65" s="7" t="s">
        <v>659</v>
      </c>
      <c r="C65" s="10" t="s">
        <v>1337</v>
      </c>
      <c r="D65" s="9" t="s">
        <v>660</v>
      </c>
      <c r="E65" s="9" t="s">
        <v>36</v>
      </c>
      <c r="F65" s="9" t="s">
        <v>661</v>
      </c>
      <c r="G65" s="7" t="s">
        <v>38</v>
      </c>
      <c r="H65" s="8">
        <f>COUNTIF('Risk Register'!$C$5:$C$297,B65)</f>
        <v>4</v>
      </c>
      <c r="I65" s="8">
        <f>_xlfn.MAXIFS('Risk Register'!$O$5:$O$297,'Risk Register'!$C$5:$C$297,B65)</f>
        <v>9</v>
      </c>
      <c r="J65" s="8">
        <f>_xlfn.MAXIFS('Risk Register'!$T$5:$T$297,'Risk Register'!$C$5:$C$297,B65)</f>
        <v>6</v>
      </c>
      <c r="K65" s="8" t="str">
        <f>IF(COUNTIFS('Risk Register'!$C$5:$C$297,B65,'Risk Register'!$U$5:$U$297,"Critical"),"Critical",IF(COUNTIFS('Risk Register'!$C$5:$C$297,B65,'Risk Register'!$U$5:$U$297,"High"),"High",IF(COUNTIFS('Risk Register'!$C$5:$C$297,B65,'Risk Register'!$U$5:$U$297,"Moderate"),"Moderate",IF(COUNTIFS('Risk Register'!$C$5:$C$297,B65,'Risk Register'!$U$5:$U$297,"Low"),"Low","Very Low"))))</f>
        <v>Moderate</v>
      </c>
      <c r="L65" s="7" t="s">
        <v>134</v>
      </c>
      <c r="M65" s="9" t="str">
        <f t="shared" si="3"/>
        <v>Differs - form states 10</v>
      </c>
      <c r="N65" s="7" t="s">
        <v>1352</v>
      </c>
      <c r="O65" s="9" t="s">
        <v>97</v>
      </c>
      <c r="P65" s="7" t="s">
        <v>38</v>
      </c>
      <c r="Q65" s="9" t="s">
        <v>1281</v>
      </c>
    </row>
    <row r="66" spans="1:17" ht="25.5" x14ac:dyDescent="0.25">
      <c r="A66" s="7">
        <f t="shared" si="2"/>
        <v>48</v>
      </c>
      <c r="B66" s="7" t="s">
        <v>570</v>
      </c>
      <c r="C66" s="10" t="s">
        <v>1337</v>
      </c>
      <c r="D66" s="9" t="s">
        <v>571</v>
      </c>
      <c r="E66" s="9" t="s">
        <v>155</v>
      </c>
      <c r="F66" s="9" t="s">
        <v>295</v>
      </c>
      <c r="G66" s="7" t="s">
        <v>572</v>
      </c>
      <c r="H66" s="8">
        <f>COUNTIF('Risk Register'!$C$5:$C$297,B66)</f>
        <v>2</v>
      </c>
      <c r="I66" s="8">
        <f>_xlfn.MAXIFS('Risk Register'!$O$5:$O$297,'Risk Register'!$C$5:$C$297,B66)</f>
        <v>9</v>
      </c>
      <c r="J66" s="8">
        <f>_xlfn.MAXIFS('Risk Register'!$T$5:$T$297,'Risk Register'!$C$5:$C$297,B66)</f>
        <v>6</v>
      </c>
      <c r="K66" s="8" t="str">
        <f>IF(COUNTIFS('Risk Register'!$C$5:$C$297,B66,'Risk Register'!$U$5:$U$297,"Critical"),"Critical",IF(COUNTIFS('Risk Register'!$C$5:$C$297,B66,'Risk Register'!$U$5:$U$297,"High"),"High",IF(COUNTIFS('Risk Register'!$C$5:$C$297,B66,'Risk Register'!$U$5:$U$297,"Moderate"),"Moderate",IF(COUNTIFS('Risk Register'!$C$5:$C$297,B66,'Risk Register'!$U$5:$U$297,"Low"),"Low","Very Low"))))</f>
        <v>Moderate</v>
      </c>
      <c r="L66" s="7" t="s">
        <v>311</v>
      </c>
      <c r="M66" s="9" t="str">
        <f t="shared" si="3"/>
        <v>Matches</v>
      </c>
      <c r="N66" s="7" t="s">
        <v>1352</v>
      </c>
      <c r="O66" s="9" t="s">
        <v>97</v>
      </c>
      <c r="P66" s="7" t="s">
        <v>572</v>
      </c>
      <c r="Q66" s="9" t="s">
        <v>1396</v>
      </c>
    </row>
    <row r="67" spans="1:17" ht="25.5" x14ac:dyDescent="0.25">
      <c r="A67" s="7">
        <f t="shared" si="2"/>
        <v>48</v>
      </c>
      <c r="B67" s="7" t="s">
        <v>583</v>
      </c>
      <c r="C67" s="10" t="s">
        <v>1337</v>
      </c>
      <c r="D67" s="9" t="s">
        <v>584</v>
      </c>
      <c r="E67" s="9" t="s">
        <v>155</v>
      </c>
      <c r="F67" s="9" t="s">
        <v>295</v>
      </c>
      <c r="G67" s="7" t="s">
        <v>91</v>
      </c>
      <c r="H67" s="8">
        <f>COUNTIF('Risk Register'!$C$5:$C$297,B67)</f>
        <v>2</v>
      </c>
      <c r="I67" s="8">
        <f>_xlfn.MAXIFS('Risk Register'!$O$5:$O$297,'Risk Register'!$C$5:$C$297,B67)</f>
        <v>9</v>
      </c>
      <c r="J67" s="8">
        <f>_xlfn.MAXIFS('Risk Register'!$T$5:$T$297,'Risk Register'!$C$5:$C$297,B67)</f>
        <v>6</v>
      </c>
      <c r="K67" s="8" t="str">
        <f>IF(COUNTIFS('Risk Register'!$C$5:$C$297,B67,'Risk Register'!$U$5:$U$297,"Critical"),"Critical",IF(COUNTIFS('Risk Register'!$C$5:$C$297,B67,'Risk Register'!$U$5:$U$297,"High"),"High",IF(COUNTIFS('Risk Register'!$C$5:$C$297,B67,'Risk Register'!$U$5:$U$297,"Moderate"),"Moderate",IF(COUNTIFS('Risk Register'!$C$5:$C$297,B67,'Risk Register'!$U$5:$U$297,"Low"),"Low","Very Low"))))</f>
        <v>Moderate</v>
      </c>
      <c r="L67" s="7" t="s">
        <v>311</v>
      </c>
      <c r="M67" s="9" t="str">
        <f t="shared" si="3"/>
        <v>Matches</v>
      </c>
      <c r="N67" s="7" t="s">
        <v>1352</v>
      </c>
      <c r="O67" s="9" t="s">
        <v>97</v>
      </c>
      <c r="P67" s="7" t="s">
        <v>572</v>
      </c>
      <c r="Q67" s="9" t="s">
        <v>1396</v>
      </c>
    </row>
    <row r="68" spans="1:17" ht="25.5" x14ac:dyDescent="0.25">
      <c r="A68" s="7">
        <f t="shared" si="2"/>
        <v>48</v>
      </c>
      <c r="B68" s="7" t="s">
        <v>587</v>
      </c>
      <c r="C68" s="10" t="s">
        <v>1337</v>
      </c>
      <c r="D68" s="9" t="s">
        <v>588</v>
      </c>
      <c r="E68" s="9" t="s">
        <v>155</v>
      </c>
      <c r="F68" s="9" t="s">
        <v>51</v>
      </c>
      <c r="G68" s="7" t="s">
        <v>589</v>
      </c>
      <c r="H68" s="8">
        <f>COUNTIF('Risk Register'!$C$5:$C$297,B68)</f>
        <v>2</v>
      </c>
      <c r="I68" s="8">
        <f>_xlfn.MAXIFS('Risk Register'!$O$5:$O$297,'Risk Register'!$C$5:$C$297,B68)</f>
        <v>9</v>
      </c>
      <c r="J68" s="8">
        <f>_xlfn.MAXIFS('Risk Register'!$T$5:$T$297,'Risk Register'!$C$5:$C$297,B68)</f>
        <v>6</v>
      </c>
      <c r="K68" s="8" t="str">
        <f>IF(COUNTIFS('Risk Register'!$C$5:$C$297,B68,'Risk Register'!$U$5:$U$297,"Critical"),"Critical",IF(COUNTIFS('Risk Register'!$C$5:$C$297,B68,'Risk Register'!$U$5:$U$297,"High"),"High",IF(COUNTIFS('Risk Register'!$C$5:$C$297,B68,'Risk Register'!$U$5:$U$297,"Moderate"),"Moderate",IF(COUNTIFS('Risk Register'!$C$5:$C$297,B68,'Risk Register'!$U$5:$U$297,"Low"),"Low","Very Low"))))</f>
        <v>Moderate</v>
      </c>
      <c r="L68" s="7" t="s">
        <v>311</v>
      </c>
      <c r="M68" s="9" t="str">
        <f t="shared" si="3"/>
        <v>Matches</v>
      </c>
      <c r="N68" s="7" t="s">
        <v>1352</v>
      </c>
      <c r="O68" s="9" t="s">
        <v>97</v>
      </c>
      <c r="P68" s="7" t="s">
        <v>589</v>
      </c>
      <c r="Q68" s="9" t="s">
        <v>1395</v>
      </c>
    </row>
    <row r="69" spans="1:17" ht="25.5" x14ac:dyDescent="0.25">
      <c r="A69" s="7">
        <f t="shared" ref="A69:A101" si="4">COUNTIF($J$5:$J$101,"&gt;"&amp;J69)+1</f>
        <v>48</v>
      </c>
      <c r="B69" s="7" t="s">
        <v>595</v>
      </c>
      <c r="C69" s="10" t="s">
        <v>1337</v>
      </c>
      <c r="D69" s="9" t="s">
        <v>596</v>
      </c>
      <c r="E69" s="9" t="s">
        <v>155</v>
      </c>
      <c r="F69" s="9" t="s">
        <v>180</v>
      </c>
      <c r="G69" s="7" t="s">
        <v>597</v>
      </c>
      <c r="H69" s="8">
        <f>COUNTIF('Risk Register'!$C$5:$C$297,B69)</f>
        <v>2</v>
      </c>
      <c r="I69" s="8">
        <f>_xlfn.MAXIFS('Risk Register'!$O$5:$O$297,'Risk Register'!$C$5:$C$297,B69)</f>
        <v>9</v>
      </c>
      <c r="J69" s="8">
        <f>_xlfn.MAXIFS('Risk Register'!$T$5:$T$297,'Risk Register'!$C$5:$C$297,B69)</f>
        <v>6</v>
      </c>
      <c r="K69" s="8" t="str">
        <f>IF(COUNTIFS('Risk Register'!$C$5:$C$297,B69,'Risk Register'!$U$5:$U$297,"Critical"),"Critical",IF(COUNTIFS('Risk Register'!$C$5:$C$297,B69,'Risk Register'!$U$5:$U$297,"High"),"High",IF(COUNTIFS('Risk Register'!$C$5:$C$297,B69,'Risk Register'!$U$5:$U$297,"Moderate"),"Moderate",IF(COUNTIFS('Risk Register'!$C$5:$C$297,B69,'Risk Register'!$U$5:$U$297,"Low"),"Low","Very Low"))))</f>
        <v>Moderate</v>
      </c>
      <c r="L69" s="7" t="s">
        <v>311</v>
      </c>
      <c r="M69" s="9" t="str">
        <f t="shared" ref="M69:M100" si="5">IF(L69="","No value",IF(IFERROR(VALUE(TRIM(MID(L69,FIND(" - ",L69)+3,3))),-1)=J69,"Matches","Differs - form states "&amp;TRIM(MID(L69,FIND(" - ",L69)+3,3))))</f>
        <v>Matches</v>
      </c>
      <c r="N69" s="7" t="s">
        <v>1352</v>
      </c>
      <c r="O69" s="9" t="s">
        <v>97</v>
      </c>
      <c r="P69" s="7" t="s">
        <v>597</v>
      </c>
      <c r="Q69" s="9" t="s">
        <v>1395</v>
      </c>
    </row>
    <row r="70" spans="1:17" ht="25.5" x14ac:dyDescent="0.25">
      <c r="A70" s="7">
        <f t="shared" si="4"/>
        <v>48</v>
      </c>
      <c r="B70" s="7" t="s">
        <v>599</v>
      </c>
      <c r="C70" s="10" t="s">
        <v>1337</v>
      </c>
      <c r="D70" s="9" t="s">
        <v>600</v>
      </c>
      <c r="E70" s="9" t="s">
        <v>155</v>
      </c>
      <c r="F70" s="9" t="s">
        <v>51</v>
      </c>
      <c r="G70" s="7" t="s">
        <v>404</v>
      </c>
      <c r="H70" s="8">
        <f>COUNTIF('Risk Register'!$C$5:$C$297,B70)</f>
        <v>2</v>
      </c>
      <c r="I70" s="8">
        <f>_xlfn.MAXIFS('Risk Register'!$O$5:$O$297,'Risk Register'!$C$5:$C$297,B70)</f>
        <v>9</v>
      </c>
      <c r="J70" s="8">
        <f>_xlfn.MAXIFS('Risk Register'!$T$5:$T$297,'Risk Register'!$C$5:$C$297,B70)</f>
        <v>6</v>
      </c>
      <c r="K70" s="8" t="str">
        <f>IF(COUNTIFS('Risk Register'!$C$5:$C$297,B70,'Risk Register'!$U$5:$U$297,"Critical"),"Critical",IF(COUNTIFS('Risk Register'!$C$5:$C$297,B70,'Risk Register'!$U$5:$U$297,"High"),"High",IF(COUNTIFS('Risk Register'!$C$5:$C$297,B70,'Risk Register'!$U$5:$U$297,"Moderate"),"Moderate",IF(COUNTIFS('Risk Register'!$C$5:$C$297,B70,'Risk Register'!$U$5:$U$297,"Low"),"Low","Very Low"))))</f>
        <v>Moderate</v>
      </c>
      <c r="L70" s="7" t="s">
        <v>311</v>
      </c>
      <c r="M70" s="9" t="str">
        <f t="shared" si="5"/>
        <v>Matches</v>
      </c>
      <c r="N70" s="7" t="s">
        <v>1352</v>
      </c>
      <c r="O70" s="9" t="s">
        <v>1068</v>
      </c>
      <c r="P70" s="7" t="s">
        <v>404</v>
      </c>
      <c r="Q70" s="9" t="s">
        <v>1386</v>
      </c>
    </row>
    <row r="71" spans="1:17" ht="25.5" x14ac:dyDescent="0.25">
      <c r="A71" s="7">
        <f t="shared" si="4"/>
        <v>48</v>
      </c>
      <c r="B71" s="7" t="s">
        <v>605</v>
      </c>
      <c r="C71" s="10" t="s">
        <v>1337</v>
      </c>
      <c r="D71" s="9" t="s">
        <v>606</v>
      </c>
      <c r="E71" s="9" t="s">
        <v>155</v>
      </c>
      <c r="F71" s="9" t="s">
        <v>51</v>
      </c>
      <c r="G71" s="7" t="s">
        <v>607</v>
      </c>
      <c r="H71" s="8">
        <f>COUNTIF('Risk Register'!$C$5:$C$297,B71)</f>
        <v>2</v>
      </c>
      <c r="I71" s="8">
        <f>_xlfn.MAXIFS('Risk Register'!$O$5:$O$297,'Risk Register'!$C$5:$C$297,B71)</f>
        <v>9</v>
      </c>
      <c r="J71" s="8">
        <f>_xlfn.MAXIFS('Risk Register'!$T$5:$T$297,'Risk Register'!$C$5:$C$297,B71)</f>
        <v>6</v>
      </c>
      <c r="K71" s="8" t="str">
        <f>IF(COUNTIFS('Risk Register'!$C$5:$C$297,B71,'Risk Register'!$U$5:$U$297,"Critical"),"Critical",IF(COUNTIFS('Risk Register'!$C$5:$C$297,B71,'Risk Register'!$U$5:$U$297,"High"),"High",IF(COUNTIFS('Risk Register'!$C$5:$C$297,B71,'Risk Register'!$U$5:$U$297,"Moderate"),"Moderate",IF(COUNTIFS('Risk Register'!$C$5:$C$297,B71,'Risk Register'!$U$5:$U$297,"Low"),"Low","Very Low"))))</f>
        <v>Moderate</v>
      </c>
      <c r="L71" s="7" t="s">
        <v>311</v>
      </c>
      <c r="M71" s="9" t="str">
        <f t="shared" si="5"/>
        <v>Matches</v>
      </c>
      <c r="N71" s="7" t="s">
        <v>1352</v>
      </c>
      <c r="O71" s="9" t="s">
        <v>1068</v>
      </c>
      <c r="P71" s="7" t="s">
        <v>607</v>
      </c>
      <c r="Q71" s="9" t="s">
        <v>1397</v>
      </c>
    </row>
    <row r="72" spans="1:17" ht="25.5" x14ac:dyDescent="0.25">
      <c r="A72" s="7">
        <f t="shared" si="4"/>
        <v>48</v>
      </c>
      <c r="B72" s="7" t="s">
        <v>612</v>
      </c>
      <c r="C72" s="10" t="s">
        <v>1337</v>
      </c>
      <c r="D72" s="9" t="s">
        <v>613</v>
      </c>
      <c r="E72" s="9" t="s">
        <v>170</v>
      </c>
      <c r="F72" s="9" t="s">
        <v>51</v>
      </c>
      <c r="G72" s="7" t="s">
        <v>614</v>
      </c>
      <c r="H72" s="8">
        <f>COUNTIF('Risk Register'!$C$5:$C$297,B72)</f>
        <v>2</v>
      </c>
      <c r="I72" s="8">
        <f>_xlfn.MAXIFS('Risk Register'!$O$5:$O$297,'Risk Register'!$C$5:$C$297,B72)</f>
        <v>9</v>
      </c>
      <c r="J72" s="8">
        <f>_xlfn.MAXIFS('Risk Register'!$T$5:$T$297,'Risk Register'!$C$5:$C$297,B72)</f>
        <v>6</v>
      </c>
      <c r="K72" s="8" t="str">
        <f>IF(COUNTIFS('Risk Register'!$C$5:$C$297,B72,'Risk Register'!$U$5:$U$297,"Critical"),"Critical",IF(COUNTIFS('Risk Register'!$C$5:$C$297,B72,'Risk Register'!$U$5:$U$297,"High"),"High",IF(COUNTIFS('Risk Register'!$C$5:$C$297,B72,'Risk Register'!$U$5:$U$297,"Moderate"),"Moderate",IF(COUNTIFS('Risk Register'!$C$5:$C$297,B72,'Risk Register'!$U$5:$U$297,"Low"),"Low","Very Low"))))</f>
        <v>Moderate</v>
      </c>
      <c r="L72" s="7" t="s">
        <v>311</v>
      </c>
      <c r="M72" s="9" t="str">
        <f t="shared" si="5"/>
        <v>Matches</v>
      </c>
      <c r="N72" s="7" t="s">
        <v>1352</v>
      </c>
      <c r="O72" s="9" t="s">
        <v>1068</v>
      </c>
      <c r="P72" s="7" t="s">
        <v>614</v>
      </c>
      <c r="Q72" s="9" t="s">
        <v>1398</v>
      </c>
    </row>
    <row r="73" spans="1:17" ht="25.5" x14ac:dyDescent="0.25">
      <c r="A73" s="7">
        <f t="shared" si="4"/>
        <v>48</v>
      </c>
      <c r="B73" s="7" t="s">
        <v>620</v>
      </c>
      <c r="C73" s="10" t="s">
        <v>1337</v>
      </c>
      <c r="D73" s="9" t="s">
        <v>621</v>
      </c>
      <c r="E73" s="9" t="s">
        <v>170</v>
      </c>
      <c r="F73" s="9" t="s">
        <v>51</v>
      </c>
      <c r="G73" s="7" t="s">
        <v>614</v>
      </c>
      <c r="H73" s="8">
        <f>COUNTIF('Risk Register'!$C$5:$C$297,B73)</f>
        <v>2</v>
      </c>
      <c r="I73" s="8">
        <f>_xlfn.MAXIFS('Risk Register'!$O$5:$O$297,'Risk Register'!$C$5:$C$297,B73)</f>
        <v>9</v>
      </c>
      <c r="J73" s="8">
        <f>_xlfn.MAXIFS('Risk Register'!$T$5:$T$297,'Risk Register'!$C$5:$C$297,B73)</f>
        <v>6</v>
      </c>
      <c r="K73" s="8" t="str">
        <f>IF(COUNTIFS('Risk Register'!$C$5:$C$297,B73,'Risk Register'!$U$5:$U$297,"Critical"),"Critical",IF(COUNTIFS('Risk Register'!$C$5:$C$297,B73,'Risk Register'!$U$5:$U$297,"High"),"High",IF(COUNTIFS('Risk Register'!$C$5:$C$297,B73,'Risk Register'!$U$5:$U$297,"Moderate"),"Moderate",IF(COUNTIFS('Risk Register'!$C$5:$C$297,B73,'Risk Register'!$U$5:$U$297,"Low"),"Low","Very Low"))))</f>
        <v>Moderate</v>
      </c>
      <c r="L73" s="7" t="s">
        <v>311</v>
      </c>
      <c r="M73" s="9" t="str">
        <f t="shared" si="5"/>
        <v>Matches</v>
      </c>
      <c r="N73" s="7" t="s">
        <v>1352</v>
      </c>
      <c r="O73" s="9" t="s">
        <v>1068</v>
      </c>
      <c r="P73" s="7" t="s">
        <v>614</v>
      </c>
      <c r="Q73" s="9" t="s">
        <v>1399</v>
      </c>
    </row>
    <row r="74" spans="1:17" ht="25.5" x14ac:dyDescent="0.25">
      <c r="A74" s="7">
        <f t="shared" si="4"/>
        <v>48</v>
      </c>
      <c r="B74" s="7" t="s">
        <v>707</v>
      </c>
      <c r="C74" s="10" t="s">
        <v>1337</v>
      </c>
      <c r="D74" s="9" t="s">
        <v>708</v>
      </c>
      <c r="E74" s="9" t="s">
        <v>232</v>
      </c>
      <c r="F74" s="9" t="s">
        <v>709</v>
      </c>
      <c r="G74" s="7" t="s">
        <v>710</v>
      </c>
      <c r="H74" s="8">
        <f>COUNTIF('Risk Register'!$C$5:$C$297,B74)</f>
        <v>2</v>
      </c>
      <c r="I74" s="8">
        <f>_xlfn.MAXIFS('Risk Register'!$O$5:$O$297,'Risk Register'!$C$5:$C$297,B74)</f>
        <v>6</v>
      </c>
      <c r="J74" s="8">
        <f>_xlfn.MAXIFS('Risk Register'!$T$5:$T$297,'Risk Register'!$C$5:$C$297,B74)</f>
        <v>6</v>
      </c>
      <c r="K74" s="8" t="str">
        <f>IF(COUNTIFS('Risk Register'!$C$5:$C$297,B74,'Risk Register'!$U$5:$U$297,"Critical"),"Critical",IF(COUNTIFS('Risk Register'!$C$5:$C$297,B74,'Risk Register'!$U$5:$U$297,"High"),"High",IF(COUNTIFS('Risk Register'!$C$5:$C$297,B74,'Risk Register'!$U$5:$U$297,"Moderate"),"Moderate",IF(COUNTIFS('Risk Register'!$C$5:$C$297,B74,'Risk Register'!$U$5:$U$297,"Low"),"Low","Very Low"))))</f>
        <v>Moderate</v>
      </c>
      <c r="L74" s="7" t="s">
        <v>742</v>
      </c>
      <c r="M74" s="9" t="str">
        <f t="shared" si="5"/>
        <v>Differs - form states 4</v>
      </c>
      <c r="N74" s="7" t="s">
        <v>1390</v>
      </c>
      <c r="O74" s="9"/>
      <c r="P74" s="7"/>
      <c r="Q74" s="9"/>
    </row>
    <row r="75" spans="1:17" ht="38.25" x14ac:dyDescent="0.25">
      <c r="A75" s="7">
        <f t="shared" si="4"/>
        <v>48</v>
      </c>
      <c r="B75" s="7" t="s">
        <v>731</v>
      </c>
      <c r="C75" s="10" t="s">
        <v>1337</v>
      </c>
      <c r="D75" s="9" t="s">
        <v>732</v>
      </c>
      <c r="E75" s="9" t="s">
        <v>155</v>
      </c>
      <c r="F75" s="9" t="s">
        <v>51</v>
      </c>
      <c r="G75" s="7" t="s">
        <v>733</v>
      </c>
      <c r="H75" s="8">
        <f>COUNTIF('Risk Register'!$C$5:$C$297,B75)</f>
        <v>2</v>
      </c>
      <c r="I75" s="8">
        <f>_xlfn.MAXIFS('Risk Register'!$O$5:$O$297,'Risk Register'!$C$5:$C$297,B75)</f>
        <v>6</v>
      </c>
      <c r="J75" s="8">
        <f>_xlfn.MAXIFS('Risk Register'!$T$5:$T$297,'Risk Register'!$C$5:$C$297,B75)</f>
        <v>6</v>
      </c>
      <c r="K75" s="8" t="str">
        <f>IF(COUNTIFS('Risk Register'!$C$5:$C$297,B75,'Risk Register'!$U$5:$U$297,"Critical"),"Critical",IF(COUNTIFS('Risk Register'!$C$5:$C$297,B75,'Risk Register'!$U$5:$U$297,"High"),"High",IF(COUNTIFS('Risk Register'!$C$5:$C$297,B75,'Risk Register'!$U$5:$U$297,"Moderate"),"Moderate",IF(COUNTIFS('Risk Register'!$C$5:$C$297,B75,'Risk Register'!$U$5:$U$297,"Low"),"Low","Very Low"))))</f>
        <v>Moderate</v>
      </c>
      <c r="L75" s="7" t="s">
        <v>311</v>
      </c>
      <c r="M75" s="9" t="str">
        <f t="shared" si="5"/>
        <v>Matches</v>
      </c>
      <c r="N75" s="7" t="s">
        <v>1352</v>
      </c>
      <c r="O75" s="9" t="s">
        <v>1068</v>
      </c>
      <c r="P75" s="7" t="s">
        <v>733</v>
      </c>
      <c r="Q75" s="9" t="s">
        <v>1272</v>
      </c>
    </row>
    <row r="76" spans="1:17" ht="25.5" x14ac:dyDescent="0.25">
      <c r="A76" s="7">
        <f t="shared" si="4"/>
        <v>48</v>
      </c>
      <c r="B76" s="7" t="s">
        <v>744</v>
      </c>
      <c r="C76" s="10" t="s">
        <v>1337</v>
      </c>
      <c r="D76" s="9" t="s">
        <v>745</v>
      </c>
      <c r="E76" s="9" t="s">
        <v>232</v>
      </c>
      <c r="F76" s="9" t="s">
        <v>51</v>
      </c>
      <c r="G76" s="7" t="s">
        <v>549</v>
      </c>
      <c r="H76" s="8">
        <f>COUNTIF('Risk Register'!$C$5:$C$297,B76)</f>
        <v>2</v>
      </c>
      <c r="I76" s="8">
        <f>_xlfn.MAXIFS('Risk Register'!$O$5:$O$297,'Risk Register'!$C$5:$C$297,B76)</f>
        <v>4</v>
      </c>
      <c r="J76" s="8">
        <f>_xlfn.MAXIFS('Risk Register'!$T$5:$T$297,'Risk Register'!$C$5:$C$297,B76)</f>
        <v>6</v>
      </c>
      <c r="K76" s="8" t="str">
        <f>IF(COUNTIFS('Risk Register'!$C$5:$C$297,B76,'Risk Register'!$U$5:$U$297,"Critical"),"Critical",IF(COUNTIFS('Risk Register'!$C$5:$C$297,B76,'Risk Register'!$U$5:$U$297,"High"),"High",IF(COUNTIFS('Risk Register'!$C$5:$C$297,B76,'Risk Register'!$U$5:$U$297,"Moderate"),"Moderate",IF(COUNTIFS('Risk Register'!$C$5:$C$297,B76,'Risk Register'!$U$5:$U$297,"Low"),"Low","Very Low"))))</f>
        <v>Moderate</v>
      </c>
      <c r="L76" s="7" t="s">
        <v>1234</v>
      </c>
      <c r="M76" s="9" t="str">
        <f t="shared" si="5"/>
        <v>Differs - form states 1</v>
      </c>
      <c r="N76" s="7" t="s">
        <v>1352</v>
      </c>
      <c r="O76" s="9" t="s">
        <v>97</v>
      </c>
      <c r="P76" s="7" t="s">
        <v>549</v>
      </c>
      <c r="Q76" s="9" t="s">
        <v>1400</v>
      </c>
    </row>
    <row r="77" spans="1:17" ht="38.25" x14ac:dyDescent="0.25">
      <c r="A77" s="7">
        <f t="shared" si="4"/>
        <v>48</v>
      </c>
      <c r="B77" s="7" t="s">
        <v>753</v>
      </c>
      <c r="C77" s="10" t="s">
        <v>1337</v>
      </c>
      <c r="D77" s="9" t="s">
        <v>754</v>
      </c>
      <c r="E77" s="9" t="s">
        <v>232</v>
      </c>
      <c r="F77" s="9" t="s">
        <v>51</v>
      </c>
      <c r="G77" s="7" t="s">
        <v>549</v>
      </c>
      <c r="H77" s="8">
        <f>COUNTIF('Risk Register'!$C$5:$C$297,B77)</f>
        <v>2</v>
      </c>
      <c r="I77" s="8">
        <f>_xlfn.MAXIFS('Risk Register'!$O$5:$O$297,'Risk Register'!$C$5:$C$297,B77)</f>
        <v>4</v>
      </c>
      <c r="J77" s="8">
        <f>_xlfn.MAXIFS('Risk Register'!$T$5:$T$297,'Risk Register'!$C$5:$C$297,B77)</f>
        <v>6</v>
      </c>
      <c r="K77" s="8" t="str">
        <f>IF(COUNTIFS('Risk Register'!$C$5:$C$297,B77,'Risk Register'!$U$5:$U$297,"Critical"),"Critical",IF(COUNTIFS('Risk Register'!$C$5:$C$297,B77,'Risk Register'!$U$5:$U$297,"High"),"High",IF(COUNTIFS('Risk Register'!$C$5:$C$297,B77,'Risk Register'!$U$5:$U$297,"Moderate"),"Moderate",IF(COUNTIFS('Risk Register'!$C$5:$C$297,B77,'Risk Register'!$U$5:$U$297,"Low"),"Low","Very Low"))))</f>
        <v>Moderate</v>
      </c>
      <c r="L77" s="7" t="s">
        <v>1234</v>
      </c>
      <c r="M77" s="9" t="str">
        <f t="shared" si="5"/>
        <v>Differs - form states 1</v>
      </c>
      <c r="N77" s="7" t="s">
        <v>1352</v>
      </c>
      <c r="O77" s="9" t="s">
        <v>97</v>
      </c>
      <c r="P77" s="7" t="s">
        <v>549</v>
      </c>
      <c r="Q77" s="9" t="s">
        <v>1400</v>
      </c>
    </row>
    <row r="78" spans="1:17" ht="25.5" x14ac:dyDescent="0.25">
      <c r="A78" s="7">
        <f t="shared" si="4"/>
        <v>74</v>
      </c>
      <c r="B78" s="7" t="s">
        <v>767</v>
      </c>
      <c r="C78" s="10" t="s">
        <v>1337</v>
      </c>
      <c r="D78" s="9" t="s">
        <v>768</v>
      </c>
      <c r="E78" s="9" t="s">
        <v>232</v>
      </c>
      <c r="F78" s="9" t="s">
        <v>51</v>
      </c>
      <c r="G78" s="7" t="s">
        <v>769</v>
      </c>
      <c r="H78" s="8">
        <f>COUNTIF('Risk Register'!$C$5:$C$297,B78)</f>
        <v>4</v>
      </c>
      <c r="I78" s="8">
        <f>_xlfn.MAXIFS('Risk Register'!$O$5:$O$297,'Risk Register'!$C$5:$C$297,B78)</f>
        <v>20</v>
      </c>
      <c r="J78" s="8">
        <f>_xlfn.MAXIFS('Risk Register'!$T$5:$T$297,'Risk Register'!$C$5:$C$297,B78)</f>
        <v>5</v>
      </c>
      <c r="K78" s="8" t="str">
        <f>IF(COUNTIFS('Risk Register'!$C$5:$C$297,B78,'Risk Register'!$U$5:$U$297,"Critical"),"Critical",IF(COUNTIFS('Risk Register'!$C$5:$C$297,B78,'Risk Register'!$U$5:$U$297,"High"),"High",IF(COUNTIFS('Risk Register'!$C$5:$C$297,B78,'Risk Register'!$U$5:$U$297,"Moderate"),"Moderate",IF(COUNTIFS('Risk Register'!$C$5:$C$297,B78,'Risk Register'!$U$5:$U$297,"Low"),"Low","Very Low"))))</f>
        <v>Moderate</v>
      </c>
      <c r="L78" s="7" t="s">
        <v>316</v>
      </c>
      <c r="M78" s="9" t="str">
        <f t="shared" si="5"/>
        <v>Differs - form states 8</v>
      </c>
      <c r="N78" s="7" t="s">
        <v>1352</v>
      </c>
      <c r="O78" s="9" t="s">
        <v>883</v>
      </c>
      <c r="P78" s="7" t="s">
        <v>1401</v>
      </c>
      <c r="Q78" s="9" t="s">
        <v>97</v>
      </c>
    </row>
    <row r="79" spans="1:17" ht="38.25" x14ac:dyDescent="0.25">
      <c r="A79" s="7">
        <f t="shared" si="4"/>
        <v>74</v>
      </c>
      <c r="B79" s="7" t="s">
        <v>797</v>
      </c>
      <c r="C79" s="10" t="s">
        <v>1338</v>
      </c>
      <c r="D79" s="9" t="s">
        <v>798</v>
      </c>
      <c r="E79" s="9" t="s">
        <v>50</v>
      </c>
      <c r="F79" s="9" t="s">
        <v>51</v>
      </c>
      <c r="G79" s="7" t="s">
        <v>91</v>
      </c>
      <c r="H79" s="8">
        <f>COUNTIF('Risk Register'!$C$5:$C$297,B79)</f>
        <v>5</v>
      </c>
      <c r="I79" s="8">
        <f>_xlfn.MAXIFS('Risk Register'!$O$5:$O$297,'Risk Register'!$C$5:$C$297,B79)</f>
        <v>16</v>
      </c>
      <c r="J79" s="8">
        <f>_xlfn.MAXIFS('Risk Register'!$T$5:$T$297,'Risk Register'!$C$5:$C$297,B79)</f>
        <v>5</v>
      </c>
      <c r="K79" s="8" t="str">
        <f>IF(COUNTIFS('Risk Register'!$C$5:$C$297,B79,'Risk Register'!$U$5:$U$297,"Critical"),"Critical",IF(COUNTIFS('Risk Register'!$C$5:$C$297,B79,'Risk Register'!$U$5:$U$297,"High"),"High",IF(COUNTIFS('Risk Register'!$C$5:$C$297,B79,'Risk Register'!$U$5:$U$297,"Moderate"),"Moderate",IF(COUNTIFS('Risk Register'!$C$5:$C$297,B79,'Risk Register'!$U$5:$U$297,"Low"),"Low","Very Low"))))</f>
        <v>Moderate</v>
      </c>
      <c r="L79" s="7" t="s">
        <v>765</v>
      </c>
      <c r="M79" s="9" t="str">
        <f t="shared" si="5"/>
        <v>Matches</v>
      </c>
      <c r="N79" s="7" t="s">
        <v>1352</v>
      </c>
      <c r="O79" s="9" t="s">
        <v>883</v>
      </c>
      <c r="P79" s="7" t="s">
        <v>1402</v>
      </c>
      <c r="Q79" s="9" t="s">
        <v>1403</v>
      </c>
    </row>
    <row r="80" spans="1:17" ht="25.5" x14ac:dyDescent="0.25">
      <c r="A80" s="7">
        <f t="shared" si="4"/>
        <v>74</v>
      </c>
      <c r="B80" s="7" t="s">
        <v>781</v>
      </c>
      <c r="C80" s="10" t="s">
        <v>1337</v>
      </c>
      <c r="D80" s="9" t="s">
        <v>782</v>
      </c>
      <c r="E80" s="9" t="s">
        <v>232</v>
      </c>
      <c r="F80" s="9" t="s">
        <v>51</v>
      </c>
      <c r="G80" s="7" t="s">
        <v>783</v>
      </c>
      <c r="H80" s="8">
        <f>COUNTIF('Risk Register'!$C$5:$C$297,B80)</f>
        <v>2</v>
      </c>
      <c r="I80" s="8">
        <f>_xlfn.MAXIFS('Risk Register'!$O$5:$O$297,'Risk Register'!$C$5:$C$297,B80)</f>
        <v>15</v>
      </c>
      <c r="J80" s="8">
        <f>_xlfn.MAXIFS('Risk Register'!$T$5:$T$297,'Risk Register'!$C$5:$C$297,B80)</f>
        <v>5</v>
      </c>
      <c r="K80" s="8" t="str">
        <f>IF(COUNTIFS('Risk Register'!$C$5:$C$297,B80,'Risk Register'!$U$5:$U$297,"Critical"),"Critical",IF(COUNTIFS('Risk Register'!$C$5:$C$297,B80,'Risk Register'!$U$5:$U$297,"High"),"High",IF(COUNTIFS('Risk Register'!$C$5:$C$297,B80,'Risk Register'!$U$5:$U$297,"Moderate"),"Moderate",IF(COUNTIFS('Risk Register'!$C$5:$C$297,B80,'Risk Register'!$U$5:$U$297,"Low"),"Low","Very Low"))))</f>
        <v>Moderate</v>
      </c>
      <c r="L80" s="7" t="s">
        <v>765</v>
      </c>
      <c r="M80" s="9" t="str">
        <f t="shared" si="5"/>
        <v>Matches</v>
      </c>
      <c r="N80" s="7" t="s">
        <v>1352</v>
      </c>
      <c r="O80" s="9" t="s">
        <v>97</v>
      </c>
      <c r="P80" s="7" t="s">
        <v>783</v>
      </c>
      <c r="Q80" s="9" t="s">
        <v>1404</v>
      </c>
    </row>
    <row r="81" spans="1:17" ht="25.5" x14ac:dyDescent="0.25">
      <c r="A81" s="7">
        <f t="shared" si="4"/>
        <v>74</v>
      </c>
      <c r="B81" s="7" t="s">
        <v>789</v>
      </c>
      <c r="C81" s="10" t="s">
        <v>1337</v>
      </c>
      <c r="D81" s="9" t="s">
        <v>790</v>
      </c>
      <c r="E81" s="9" t="s">
        <v>232</v>
      </c>
      <c r="F81" s="9" t="s">
        <v>51</v>
      </c>
      <c r="G81" s="7" t="s">
        <v>549</v>
      </c>
      <c r="H81" s="8">
        <f>COUNTIF('Risk Register'!$C$5:$C$297,B81)</f>
        <v>4</v>
      </c>
      <c r="I81" s="8">
        <f>_xlfn.MAXIFS('Risk Register'!$O$5:$O$297,'Risk Register'!$C$5:$C$297,B81)</f>
        <v>15</v>
      </c>
      <c r="J81" s="8">
        <f>_xlfn.MAXIFS('Risk Register'!$T$5:$T$297,'Risk Register'!$C$5:$C$297,B81)</f>
        <v>5</v>
      </c>
      <c r="K81" s="8" t="str">
        <f>IF(COUNTIFS('Risk Register'!$C$5:$C$297,B81,'Risk Register'!$U$5:$U$297,"Critical"),"Critical",IF(COUNTIFS('Risk Register'!$C$5:$C$297,B81,'Risk Register'!$U$5:$U$297,"High"),"High",IF(COUNTIFS('Risk Register'!$C$5:$C$297,B81,'Risk Register'!$U$5:$U$297,"Moderate"),"Moderate",IF(COUNTIFS('Risk Register'!$C$5:$C$297,B81,'Risk Register'!$U$5:$U$297,"Low"),"Low","Very Low"))))</f>
        <v>Moderate</v>
      </c>
      <c r="L81" s="7" t="s">
        <v>765</v>
      </c>
      <c r="M81" s="9" t="str">
        <f t="shared" si="5"/>
        <v>Matches</v>
      </c>
      <c r="N81" s="7" t="s">
        <v>1352</v>
      </c>
      <c r="O81" s="9" t="s">
        <v>97</v>
      </c>
      <c r="P81" s="7" t="s">
        <v>549</v>
      </c>
      <c r="Q81" s="9" t="s">
        <v>1405</v>
      </c>
    </row>
    <row r="82" spans="1:17" ht="25.5" x14ac:dyDescent="0.25">
      <c r="A82" s="7">
        <f t="shared" si="4"/>
        <v>78</v>
      </c>
      <c r="B82" s="7" t="s">
        <v>834</v>
      </c>
      <c r="C82" s="10" t="s">
        <v>1337</v>
      </c>
      <c r="D82" s="9" t="s">
        <v>835</v>
      </c>
      <c r="E82" s="9" t="s">
        <v>232</v>
      </c>
      <c r="F82" s="9" t="s">
        <v>51</v>
      </c>
      <c r="G82" s="7" t="s">
        <v>836</v>
      </c>
      <c r="H82" s="8">
        <f>COUNTIF('Risk Register'!$C$5:$C$297,B82)</f>
        <v>2</v>
      </c>
      <c r="I82" s="8">
        <f>_xlfn.MAXIFS('Risk Register'!$O$5:$O$297,'Risk Register'!$C$5:$C$297,B82)</f>
        <v>15</v>
      </c>
      <c r="J82" s="8">
        <f>_xlfn.MAXIFS('Risk Register'!$T$5:$T$297,'Risk Register'!$C$5:$C$297,B82)</f>
        <v>4</v>
      </c>
      <c r="K82" s="8" t="str">
        <f>IF(COUNTIFS('Risk Register'!$C$5:$C$297,B82,'Risk Register'!$U$5:$U$297,"Critical"),"Critical",IF(COUNTIFS('Risk Register'!$C$5:$C$297,B82,'Risk Register'!$U$5:$U$297,"High"),"High",IF(COUNTIFS('Risk Register'!$C$5:$C$297,B82,'Risk Register'!$U$5:$U$297,"Moderate"),"Moderate",IF(COUNTIFS('Risk Register'!$C$5:$C$297,B82,'Risk Register'!$U$5:$U$297,"Low"),"Low","Very Low"))))</f>
        <v>Low</v>
      </c>
      <c r="L82" s="7" t="s">
        <v>742</v>
      </c>
      <c r="M82" s="9" t="str">
        <f t="shared" si="5"/>
        <v>Matches</v>
      </c>
      <c r="N82" s="7" t="s">
        <v>1352</v>
      </c>
      <c r="O82" s="9" t="s">
        <v>883</v>
      </c>
      <c r="P82" s="7" t="s">
        <v>1406</v>
      </c>
      <c r="Q82" s="9" t="s">
        <v>97</v>
      </c>
    </row>
    <row r="83" spans="1:17" ht="38.25" x14ac:dyDescent="0.25">
      <c r="A83" s="7">
        <f t="shared" si="4"/>
        <v>78</v>
      </c>
      <c r="B83" s="7" t="s">
        <v>893</v>
      </c>
      <c r="C83" s="10" t="s">
        <v>1338</v>
      </c>
      <c r="D83" s="9" t="s">
        <v>894</v>
      </c>
      <c r="E83" s="9" t="s">
        <v>50</v>
      </c>
      <c r="F83" s="9" t="s">
        <v>51</v>
      </c>
      <c r="G83" s="7" t="s">
        <v>91</v>
      </c>
      <c r="H83" s="8">
        <f>COUNTIF('Risk Register'!$C$5:$C$297,B83)</f>
        <v>2</v>
      </c>
      <c r="I83" s="8">
        <f>_xlfn.MAXIFS('Risk Register'!$O$5:$O$297,'Risk Register'!$C$5:$C$297,B83)</f>
        <v>10</v>
      </c>
      <c r="J83" s="8">
        <f>_xlfn.MAXIFS('Risk Register'!$T$5:$T$297,'Risk Register'!$C$5:$C$297,B83)</f>
        <v>4</v>
      </c>
      <c r="K83" s="8" t="str">
        <f>IF(COUNTIFS('Risk Register'!$C$5:$C$297,B83,'Risk Register'!$U$5:$U$297,"Critical"),"Critical",IF(COUNTIFS('Risk Register'!$C$5:$C$297,B83,'Risk Register'!$U$5:$U$297,"High"),"High",IF(COUNTIFS('Risk Register'!$C$5:$C$297,B83,'Risk Register'!$U$5:$U$297,"Moderate"),"Moderate",IF(COUNTIFS('Risk Register'!$C$5:$C$297,B83,'Risk Register'!$U$5:$U$297,"Low"),"Low","Very Low"))))</f>
        <v>Low</v>
      </c>
      <c r="L83" s="7" t="s">
        <v>847</v>
      </c>
      <c r="M83" s="9" t="str">
        <f t="shared" si="5"/>
        <v>Matches</v>
      </c>
      <c r="N83" s="7" t="s">
        <v>1352</v>
      </c>
      <c r="O83" s="9" t="s">
        <v>1371</v>
      </c>
      <c r="P83" s="7" t="s">
        <v>1402</v>
      </c>
      <c r="Q83" s="9" t="s">
        <v>1407</v>
      </c>
    </row>
    <row r="84" spans="1:17" ht="38.25" x14ac:dyDescent="0.25">
      <c r="A84" s="7">
        <f t="shared" si="4"/>
        <v>78</v>
      </c>
      <c r="B84" s="7" t="s">
        <v>900</v>
      </c>
      <c r="C84" s="10" t="s">
        <v>1337</v>
      </c>
      <c r="D84" s="9" t="s">
        <v>901</v>
      </c>
      <c r="E84" s="9" t="s">
        <v>50</v>
      </c>
      <c r="F84" s="9" t="s">
        <v>51</v>
      </c>
      <c r="G84" s="7" t="s">
        <v>902</v>
      </c>
      <c r="H84" s="8">
        <f>COUNTIF('Risk Register'!$C$5:$C$297,B84)</f>
        <v>2</v>
      </c>
      <c r="I84" s="8">
        <f>_xlfn.MAXIFS('Risk Register'!$O$5:$O$297,'Risk Register'!$C$5:$C$297,B84)</f>
        <v>10</v>
      </c>
      <c r="J84" s="8">
        <f>_xlfn.MAXIFS('Risk Register'!$T$5:$T$297,'Risk Register'!$C$5:$C$297,B84)</f>
        <v>4</v>
      </c>
      <c r="K84" s="8" t="str">
        <f>IF(COUNTIFS('Risk Register'!$C$5:$C$297,B84,'Risk Register'!$U$5:$U$297,"Critical"),"Critical",IF(COUNTIFS('Risk Register'!$C$5:$C$297,B84,'Risk Register'!$U$5:$U$297,"High"),"High",IF(COUNTIFS('Risk Register'!$C$5:$C$297,B84,'Risk Register'!$U$5:$U$297,"Moderate"),"Moderate",IF(COUNTIFS('Risk Register'!$C$5:$C$297,B84,'Risk Register'!$U$5:$U$297,"Low"),"Low","Very Low"))))</f>
        <v>Low</v>
      </c>
      <c r="L84" s="7" t="s">
        <v>847</v>
      </c>
      <c r="M84" s="9" t="str">
        <f t="shared" si="5"/>
        <v>Matches</v>
      </c>
      <c r="N84" s="7" t="s">
        <v>1352</v>
      </c>
      <c r="O84" s="9" t="s">
        <v>1371</v>
      </c>
      <c r="P84" s="7" t="s">
        <v>1402</v>
      </c>
      <c r="Q84" s="9" t="s">
        <v>1407</v>
      </c>
    </row>
    <row r="85" spans="1:17" ht="25.5" x14ac:dyDescent="0.25">
      <c r="A85" s="7">
        <f t="shared" si="4"/>
        <v>78</v>
      </c>
      <c r="B85" s="7" t="s">
        <v>957</v>
      </c>
      <c r="C85" s="10" t="s">
        <v>1338</v>
      </c>
      <c r="D85" s="9" t="s">
        <v>958</v>
      </c>
      <c r="E85" s="9" t="s">
        <v>170</v>
      </c>
      <c r="F85" s="9" t="s">
        <v>51</v>
      </c>
      <c r="G85" s="7" t="s">
        <v>101</v>
      </c>
      <c r="H85" s="8">
        <f>COUNTIF('Risk Register'!$C$5:$C$297,B85)</f>
        <v>2</v>
      </c>
      <c r="I85" s="8">
        <f>_xlfn.MAXIFS('Risk Register'!$O$5:$O$297,'Risk Register'!$C$5:$C$297,B85)</f>
        <v>9</v>
      </c>
      <c r="J85" s="8">
        <f>_xlfn.MAXIFS('Risk Register'!$T$5:$T$297,'Risk Register'!$C$5:$C$297,B85)</f>
        <v>4</v>
      </c>
      <c r="K85" s="8" t="str">
        <f>IF(COUNTIFS('Risk Register'!$C$5:$C$297,B85,'Risk Register'!$U$5:$U$297,"Critical"),"Critical",IF(COUNTIFS('Risk Register'!$C$5:$C$297,B85,'Risk Register'!$U$5:$U$297,"High"),"High",IF(COUNTIFS('Risk Register'!$C$5:$C$297,B85,'Risk Register'!$U$5:$U$297,"Moderate"),"Moderate",IF(COUNTIFS('Risk Register'!$C$5:$C$297,B85,'Risk Register'!$U$5:$U$297,"Low"),"Low","Very Low"))))</f>
        <v>Moderate</v>
      </c>
      <c r="L85" s="7" t="s">
        <v>847</v>
      </c>
      <c r="M85" s="9" t="str">
        <f t="shared" si="5"/>
        <v>Matches</v>
      </c>
      <c r="N85" s="7" t="s">
        <v>1352</v>
      </c>
      <c r="O85" s="9" t="s">
        <v>883</v>
      </c>
      <c r="P85" s="7" t="s">
        <v>101</v>
      </c>
      <c r="Q85" s="9" t="s">
        <v>1408</v>
      </c>
    </row>
    <row r="86" spans="1:17" ht="25.5" x14ac:dyDescent="0.25">
      <c r="A86" s="7">
        <f t="shared" si="4"/>
        <v>78</v>
      </c>
      <c r="B86" s="7" t="s">
        <v>922</v>
      </c>
      <c r="C86" s="10" t="s">
        <v>1338</v>
      </c>
      <c r="D86" s="9" t="s">
        <v>923</v>
      </c>
      <c r="E86" s="9" t="s">
        <v>36</v>
      </c>
      <c r="F86" s="9" t="s">
        <v>51</v>
      </c>
      <c r="G86" s="7" t="s">
        <v>924</v>
      </c>
      <c r="H86" s="8">
        <f>COUNTIF('Risk Register'!$C$5:$C$297,B86)</f>
        <v>2</v>
      </c>
      <c r="I86" s="8">
        <f>_xlfn.MAXIFS('Risk Register'!$O$5:$O$297,'Risk Register'!$C$5:$C$297,B86)</f>
        <v>9</v>
      </c>
      <c r="J86" s="8">
        <f>_xlfn.MAXIFS('Risk Register'!$T$5:$T$297,'Risk Register'!$C$5:$C$297,B86)</f>
        <v>4</v>
      </c>
      <c r="K86" s="8" t="str">
        <f>IF(COUNTIFS('Risk Register'!$C$5:$C$297,B86,'Risk Register'!$U$5:$U$297,"Critical"),"Critical",IF(COUNTIFS('Risk Register'!$C$5:$C$297,B86,'Risk Register'!$U$5:$U$297,"High"),"High",IF(COUNTIFS('Risk Register'!$C$5:$C$297,B86,'Risk Register'!$U$5:$U$297,"Moderate"),"Moderate",IF(COUNTIFS('Risk Register'!$C$5:$C$297,B86,'Risk Register'!$U$5:$U$297,"Low"),"Low","Very Low"))))</f>
        <v>Low</v>
      </c>
      <c r="L86" s="7" t="s">
        <v>1234</v>
      </c>
      <c r="M86" s="9" t="str">
        <f t="shared" si="5"/>
        <v>Differs - form states 1</v>
      </c>
      <c r="N86" s="7" t="s">
        <v>1352</v>
      </c>
      <c r="O86" s="9" t="s">
        <v>883</v>
      </c>
      <c r="P86" s="7" t="s">
        <v>924</v>
      </c>
      <c r="Q86" s="9" t="s">
        <v>1409</v>
      </c>
    </row>
    <row r="87" spans="1:17" ht="25.5" x14ac:dyDescent="0.25">
      <c r="A87" s="7">
        <f t="shared" si="4"/>
        <v>78</v>
      </c>
      <c r="B87" s="7" t="s">
        <v>964</v>
      </c>
      <c r="C87" s="10" t="s">
        <v>1338</v>
      </c>
      <c r="D87" s="9" t="s">
        <v>965</v>
      </c>
      <c r="E87" s="9" t="s">
        <v>966</v>
      </c>
      <c r="F87" s="9" t="s">
        <v>51</v>
      </c>
      <c r="G87" s="7" t="s">
        <v>91</v>
      </c>
      <c r="H87" s="8">
        <f>COUNTIF('Risk Register'!$C$5:$C$297,B87)</f>
        <v>5</v>
      </c>
      <c r="I87" s="8">
        <f>_xlfn.MAXIFS('Risk Register'!$O$5:$O$297,'Risk Register'!$C$5:$C$297,B87)</f>
        <v>9</v>
      </c>
      <c r="J87" s="8">
        <f>_xlfn.MAXIFS('Risk Register'!$T$5:$T$297,'Risk Register'!$C$5:$C$297,B87)</f>
        <v>4</v>
      </c>
      <c r="K87" s="8" t="str">
        <f>IF(COUNTIFS('Risk Register'!$C$5:$C$297,B87,'Risk Register'!$U$5:$U$297,"Critical"),"Critical",IF(COUNTIFS('Risk Register'!$C$5:$C$297,B87,'Risk Register'!$U$5:$U$297,"High"),"High",IF(COUNTIFS('Risk Register'!$C$5:$C$297,B87,'Risk Register'!$U$5:$U$297,"Moderate"),"Moderate",IF(COUNTIFS('Risk Register'!$C$5:$C$297,B87,'Risk Register'!$U$5:$U$297,"Low"),"Low","Very Low"))))</f>
        <v>Moderate</v>
      </c>
      <c r="L87" s="7" t="s">
        <v>847</v>
      </c>
      <c r="M87" s="9" t="str">
        <f t="shared" si="5"/>
        <v>Matches</v>
      </c>
      <c r="N87" s="7" t="s">
        <v>1352</v>
      </c>
      <c r="O87" s="9" t="s">
        <v>883</v>
      </c>
      <c r="P87" s="7" t="s">
        <v>1410</v>
      </c>
      <c r="Q87" s="9" t="s">
        <v>1411</v>
      </c>
    </row>
    <row r="88" spans="1:17" ht="25.5" x14ac:dyDescent="0.25">
      <c r="A88" s="7">
        <f t="shared" si="4"/>
        <v>78</v>
      </c>
      <c r="B88" s="7" t="s">
        <v>986</v>
      </c>
      <c r="C88" s="10" t="s">
        <v>1337</v>
      </c>
      <c r="D88" s="9" t="s">
        <v>965</v>
      </c>
      <c r="E88" s="9" t="s">
        <v>966</v>
      </c>
      <c r="F88" s="9" t="s">
        <v>51</v>
      </c>
      <c r="G88" s="7" t="s">
        <v>52</v>
      </c>
      <c r="H88" s="8">
        <f>COUNTIF('Risk Register'!$C$5:$C$297,B88)</f>
        <v>5</v>
      </c>
      <c r="I88" s="8">
        <f>_xlfn.MAXIFS('Risk Register'!$O$5:$O$297,'Risk Register'!$C$5:$C$297,B88)</f>
        <v>9</v>
      </c>
      <c r="J88" s="8">
        <f>_xlfn.MAXIFS('Risk Register'!$T$5:$T$297,'Risk Register'!$C$5:$C$297,B88)</f>
        <v>4</v>
      </c>
      <c r="K88" s="8" t="str">
        <f>IF(COUNTIFS('Risk Register'!$C$5:$C$297,B88,'Risk Register'!$U$5:$U$297,"Critical"),"Critical",IF(COUNTIFS('Risk Register'!$C$5:$C$297,B88,'Risk Register'!$U$5:$U$297,"High"),"High",IF(COUNTIFS('Risk Register'!$C$5:$C$297,B88,'Risk Register'!$U$5:$U$297,"Moderate"),"Moderate",IF(COUNTIFS('Risk Register'!$C$5:$C$297,B88,'Risk Register'!$U$5:$U$297,"Low"),"Low","Very Low"))))</f>
        <v>Moderate</v>
      </c>
      <c r="L88" s="7" t="s">
        <v>847</v>
      </c>
      <c r="M88" s="9" t="str">
        <f t="shared" si="5"/>
        <v>Matches</v>
      </c>
      <c r="N88" s="7" t="s">
        <v>1352</v>
      </c>
      <c r="O88" s="9" t="s">
        <v>883</v>
      </c>
      <c r="P88" s="7" t="s">
        <v>1410</v>
      </c>
      <c r="Q88" s="9" t="s">
        <v>1411</v>
      </c>
    </row>
    <row r="89" spans="1:17" ht="25.5" x14ac:dyDescent="0.25">
      <c r="A89" s="7">
        <f t="shared" si="4"/>
        <v>78</v>
      </c>
      <c r="B89" s="7" t="s">
        <v>944</v>
      </c>
      <c r="C89" s="10" t="s">
        <v>1337</v>
      </c>
      <c r="D89" s="9" t="s">
        <v>945</v>
      </c>
      <c r="E89" s="9" t="s">
        <v>155</v>
      </c>
      <c r="F89" s="9" t="s">
        <v>946</v>
      </c>
      <c r="G89" s="7" t="s">
        <v>947</v>
      </c>
      <c r="H89" s="8">
        <f>COUNTIF('Risk Register'!$C$5:$C$297,B89)</f>
        <v>2</v>
      </c>
      <c r="I89" s="8">
        <f>_xlfn.MAXIFS('Risk Register'!$O$5:$O$297,'Risk Register'!$C$5:$C$297,B89)</f>
        <v>9</v>
      </c>
      <c r="J89" s="8">
        <f>_xlfn.MAXIFS('Risk Register'!$T$5:$T$297,'Risk Register'!$C$5:$C$297,B89)</f>
        <v>4</v>
      </c>
      <c r="K89" s="8" t="str">
        <f>IF(COUNTIFS('Risk Register'!$C$5:$C$297,B89,'Risk Register'!$U$5:$U$297,"Critical"),"Critical",IF(COUNTIFS('Risk Register'!$C$5:$C$297,B89,'Risk Register'!$U$5:$U$297,"High"),"High",IF(COUNTIFS('Risk Register'!$C$5:$C$297,B89,'Risk Register'!$U$5:$U$297,"Moderate"),"Moderate",IF(COUNTIFS('Risk Register'!$C$5:$C$297,B89,'Risk Register'!$U$5:$U$297,"Low"),"Low","Very Low"))))</f>
        <v>Low</v>
      </c>
      <c r="L89" s="7" t="s">
        <v>76</v>
      </c>
      <c r="M89" s="9" t="str">
        <f t="shared" si="5"/>
        <v>Differs - form states 9</v>
      </c>
      <c r="N89" s="7" t="s">
        <v>1352</v>
      </c>
      <c r="O89" s="9" t="s">
        <v>1068</v>
      </c>
      <c r="P89" s="7" t="s">
        <v>947</v>
      </c>
      <c r="Q89" s="9" t="s">
        <v>883</v>
      </c>
    </row>
    <row r="90" spans="1:17" ht="38.25" x14ac:dyDescent="0.25">
      <c r="A90" s="7">
        <f t="shared" si="4"/>
        <v>78</v>
      </c>
      <c r="B90" s="7" t="s">
        <v>995</v>
      </c>
      <c r="C90" s="10" t="s">
        <v>1338</v>
      </c>
      <c r="D90" s="9" t="s">
        <v>996</v>
      </c>
      <c r="E90" s="9" t="s">
        <v>50</v>
      </c>
      <c r="F90" s="9" t="s">
        <v>51</v>
      </c>
      <c r="G90" s="7" t="s">
        <v>997</v>
      </c>
      <c r="H90" s="8">
        <f>COUNTIF('Risk Register'!$C$5:$C$297,B90)</f>
        <v>4</v>
      </c>
      <c r="I90" s="8">
        <f>_xlfn.MAXIFS('Risk Register'!$O$5:$O$297,'Risk Register'!$C$5:$C$297,B90)</f>
        <v>8</v>
      </c>
      <c r="J90" s="8">
        <f>_xlfn.MAXIFS('Risk Register'!$T$5:$T$297,'Risk Register'!$C$5:$C$297,B90)</f>
        <v>4</v>
      </c>
      <c r="K90" s="8" t="str">
        <f>IF(COUNTIFS('Risk Register'!$C$5:$C$297,B90,'Risk Register'!$U$5:$U$297,"Critical"),"Critical",IF(COUNTIFS('Risk Register'!$C$5:$C$297,B90,'Risk Register'!$U$5:$U$297,"High"),"High",IF(COUNTIFS('Risk Register'!$C$5:$C$297,B90,'Risk Register'!$U$5:$U$297,"Moderate"),"Moderate",IF(COUNTIFS('Risk Register'!$C$5:$C$297,B90,'Risk Register'!$U$5:$U$297,"Low"),"Low","Very Low"))))</f>
        <v>Low</v>
      </c>
      <c r="L90" s="7" t="s">
        <v>847</v>
      </c>
      <c r="M90" s="9" t="str">
        <f t="shared" si="5"/>
        <v>Matches</v>
      </c>
      <c r="N90" s="7" t="s">
        <v>1352</v>
      </c>
      <c r="O90" s="9" t="s">
        <v>97</v>
      </c>
      <c r="P90" s="7" t="s">
        <v>1402</v>
      </c>
      <c r="Q90" s="9" t="s">
        <v>1357</v>
      </c>
    </row>
    <row r="91" spans="1:17" ht="25.5" x14ac:dyDescent="0.25">
      <c r="A91" s="7">
        <f t="shared" si="4"/>
        <v>78</v>
      </c>
      <c r="B91" s="7" t="s">
        <v>1007</v>
      </c>
      <c r="C91" s="10" t="s">
        <v>1337</v>
      </c>
      <c r="D91" s="9" t="s">
        <v>1008</v>
      </c>
      <c r="E91" s="9" t="s">
        <v>36</v>
      </c>
      <c r="F91" s="9" t="s">
        <v>51</v>
      </c>
      <c r="G91" s="7" t="s">
        <v>1009</v>
      </c>
      <c r="H91" s="8">
        <f>COUNTIF('Risk Register'!$C$5:$C$297,B91)</f>
        <v>2</v>
      </c>
      <c r="I91" s="8">
        <f>_xlfn.MAXIFS('Risk Register'!$O$5:$O$297,'Risk Register'!$C$5:$C$297,B91)</f>
        <v>8</v>
      </c>
      <c r="J91" s="8">
        <f>_xlfn.MAXIFS('Risk Register'!$T$5:$T$297,'Risk Register'!$C$5:$C$297,B91)</f>
        <v>4</v>
      </c>
      <c r="K91" s="8" t="str">
        <f>IF(COUNTIFS('Risk Register'!$C$5:$C$297,B91,'Risk Register'!$U$5:$U$297,"Critical"),"Critical",IF(COUNTIFS('Risk Register'!$C$5:$C$297,B91,'Risk Register'!$U$5:$U$297,"High"),"High",IF(COUNTIFS('Risk Register'!$C$5:$C$297,B91,'Risk Register'!$U$5:$U$297,"Moderate"),"Moderate",IF(COUNTIFS('Risk Register'!$C$5:$C$297,B91,'Risk Register'!$U$5:$U$297,"Low"),"Low","Very Low"))))</f>
        <v>Low</v>
      </c>
      <c r="L91" s="7" t="s">
        <v>847</v>
      </c>
      <c r="M91" s="9" t="str">
        <f t="shared" si="5"/>
        <v>Matches</v>
      </c>
      <c r="N91" s="7" t="s">
        <v>1352</v>
      </c>
      <c r="O91" s="9" t="s">
        <v>97</v>
      </c>
      <c r="P91" s="7" t="s">
        <v>1009</v>
      </c>
      <c r="Q91" s="9" t="s">
        <v>1279</v>
      </c>
    </row>
    <row r="92" spans="1:17" x14ac:dyDescent="0.25">
      <c r="A92" s="7">
        <f t="shared" si="4"/>
        <v>78</v>
      </c>
      <c r="B92" s="7" t="s">
        <v>973</v>
      </c>
      <c r="C92" s="10" t="s">
        <v>1337</v>
      </c>
      <c r="D92" s="9" t="s">
        <v>974</v>
      </c>
      <c r="E92" s="9" t="s">
        <v>170</v>
      </c>
      <c r="F92" s="9" t="s">
        <v>51</v>
      </c>
      <c r="G92" s="7" t="s">
        <v>975</v>
      </c>
      <c r="H92" s="8">
        <f>COUNTIF('Risk Register'!$C$5:$C$297,B92)</f>
        <v>2</v>
      </c>
      <c r="I92" s="8">
        <f>_xlfn.MAXIFS('Risk Register'!$O$5:$O$297,'Risk Register'!$C$5:$C$297,B92)</f>
        <v>8</v>
      </c>
      <c r="J92" s="8">
        <f>_xlfn.MAXIFS('Risk Register'!$T$5:$T$297,'Risk Register'!$C$5:$C$297,B92)</f>
        <v>4</v>
      </c>
      <c r="K92" s="8" t="str">
        <f>IF(COUNTIFS('Risk Register'!$C$5:$C$297,B92,'Risk Register'!$U$5:$U$297,"Critical"),"Critical",IF(COUNTIFS('Risk Register'!$C$5:$C$297,B92,'Risk Register'!$U$5:$U$297,"High"),"High",IF(COUNTIFS('Risk Register'!$C$5:$C$297,B92,'Risk Register'!$U$5:$U$297,"Moderate"),"Moderate",IF(COUNTIFS('Risk Register'!$C$5:$C$297,B92,'Risk Register'!$U$5:$U$297,"Low"),"Low","Very Low"))))</f>
        <v>Moderate</v>
      </c>
      <c r="L92" s="7" t="s">
        <v>847</v>
      </c>
      <c r="M92" s="9" t="str">
        <f t="shared" si="5"/>
        <v>Matches</v>
      </c>
      <c r="N92" s="7" t="s">
        <v>1352</v>
      </c>
      <c r="O92" s="9" t="s">
        <v>97</v>
      </c>
      <c r="P92" s="7" t="s">
        <v>975</v>
      </c>
      <c r="Q92" s="9" t="s">
        <v>1412</v>
      </c>
    </row>
    <row r="93" spans="1:17" ht="25.5" x14ac:dyDescent="0.25">
      <c r="A93" s="7">
        <f t="shared" si="4"/>
        <v>78</v>
      </c>
      <c r="B93" s="7" t="s">
        <v>979</v>
      </c>
      <c r="C93" s="10" t="s">
        <v>1337</v>
      </c>
      <c r="D93" s="9" t="s">
        <v>980</v>
      </c>
      <c r="E93" s="9" t="s">
        <v>155</v>
      </c>
      <c r="F93" s="9" t="s">
        <v>180</v>
      </c>
      <c r="G93" s="7" t="s">
        <v>981</v>
      </c>
      <c r="H93" s="8">
        <f>COUNTIF('Risk Register'!$C$5:$C$297,B93)</f>
        <v>2</v>
      </c>
      <c r="I93" s="8">
        <f>_xlfn.MAXIFS('Risk Register'!$O$5:$O$297,'Risk Register'!$C$5:$C$297,B93)</f>
        <v>8</v>
      </c>
      <c r="J93" s="8">
        <f>_xlfn.MAXIFS('Risk Register'!$T$5:$T$297,'Risk Register'!$C$5:$C$297,B93)</f>
        <v>4</v>
      </c>
      <c r="K93" s="8" t="str">
        <f>IF(COUNTIFS('Risk Register'!$C$5:$C$297,B93,'Risk Register'!$U$5:$U$297,"Critical"),"Critical",IF(COUNTIFS('Risk Register'!$C$5:$C$297,B93,'Risk Register'!$U$5:$U$297,"High"),"High",IF(COUNTIFS('Risk Register'!$C$5:$C$297,B93,'Risk Register'!$U$5:$U$297,"Moderate"),"Moderate",IF(COUNTIFS('Risk Register'!$C$5:$C$297,B93,'Risk Register'!$U$5:$U$297,"Low"),"Low","Very Low"))))</f>
        <v>Moderate</v>
      </c>
      <c r="L93" s="7" t="s">
        <v>847</v>
      </c>
      <c r="M93" s="9" t="str">
        <f t="shared" si="5"/>
        <v>Matches</v>
      </c>
      <c r="N93" s="7" t="s">
        <v>1352</v>
      </c>
      <c r="O93" s="9" t="s">
        <v>97</v>
      </c>
      <c r="P93" s="7" t="s">
        <v>981</v>
      </c>
      <c r="Q93" s="9" t="s">
        <v>1413</v>
      </c>
    </row>
    <row r="94" spans="1:17" ht="25.5" x14ac:dyDescent="0.25">
      <c r="A94" s="7">
        <f t="shared" si="4"/>
        <v>78</v>
      </c>
      <c r="B94" s="7" t="s">
        <v>1014</v>
      </c>
      <c r="C94" s="10" t="s">
        <v>1337</v>
      </c>
      <c r="D94" s="9" t="s">
        <v>1015</v>
      </c>
      <c r="E94" s="9" t="s">
        <v>232</v>
      </c>
      <c r="F94" s="9" t="s">
        <v>1016</v>
      </c>
      <c r="G94" s="7" t="s">
        <v>1017</v>
      </c>
      <c r="H94" s="8">
        <f>COUNTIF('Risk Register'!$C$5:$C$297,B94)</f>
        <v>2</v>
      </c>
      <c r="I94" s="8">
        <f>_xlfn.MAXIFS('Risk Register'!$O$5:$O$297,'Risk Register'!$C$5:$C$297,B94)</f>
        <v>8</v>
      </c>
      <c r="J94" s="8">
        <f>_xlfn.MAXIFS('Risk Register'!$T$5:$T$297,'Risk Register'!$C$5:$C$297,B94)</f>
        <v>4</v>
      </c>
      <c r="K94" s="8" t="str">
        <f>IF(COUNTIFS('Risk Register'!$C$5:$C$297,B94,'Risk Register'!$U$5:$U$297,"Critical"),"Critical",IF(COUNTIFS('Risk Register'!$C$5:$C$297,B94,'Risk Register'!$U$5:$U$297,"High"),"High",IF(COUNTIFS('Risk Register'!$C$5:$C$297,B94,'Risk Register'!$U$5:$U$297,"Moderate"),"Moderate",IF(COUNTIFS('Risk Register'!$C$5:$C$297,B94,'Risk Register'!$U$5:$U$297,"Low"),"Low","Very Low"))))</f>
        <v>Low</v>
      </c>
      <c r="L94" s="7" t="s">
        <v>742</v>
      </c>
      <c r="M94" s="9" t="str">
        <f t="shared" si="5"/>
        <v>Matches</v>
      </c>
      <c r="N94" s="7" t="s">
        <v>1352</v>
      </c>
      <c r="O94" s="9" t="s">
        <v>97</v>
      </c>
      <c r="P94" s="7" t="s">
        <v>1017</v>
      </c>
      <c r="Q94" s="9" t="s">
        <v>1414</v>
      </c>
    </row>
    <row r="95" spans="1:17" ht="51" x14ac:dyDescent="0.25">
      <c r="A95" s="7">
        <f t="shared" si="4"/>
        <v>78</v>
      </c>
      <c r="B95" s="7" t="s">
        <v>1023</v>
      </c>
      <c r="C95" s="10" t="s">
        <v>1337</v>
      </c>
      <c r="D95" s="9" t="s">
        <v>1024</v>
      </c>
      <c r="E95" s="9" t="s">
        <v>50</v>
      </c>
      <c r="F95" s="9" t="s">
        <v>51</v>
      </c>
      <c r="G95" s="7" t="s">
        <v>1025</v>
      </c>
      <c r="H95" s="8">
        <f>COUNTIF('Risk Register'!$C$5:$C$297,B95)</f>
        <v>5</v>
      </c>
      <c r="I95" s="8">
        <f>_xlfn.MAXIFS('Risk Register'!$O$5:$O$297,'Risk Register'!$C$5:$C$297,B95)</f>
        <v>8</v>
      </c>
      <c r="J95" s="8">
        <f>_xlfn.MAXIFS('Risk Register'!$T$5:$T$297,'Risk Register'!$C$5:$C$297,B95)</f>
        <v>4</v>
      </c>
      <c r="K95" s="8" t="str">
        <f>IF(COUNTIFS('Risk Register'!$C$5:$C$297,B95,'Risk Register'!$U$5:$U$297,"Critical"),"Critical",IF(COUNTIFS('Risk Register'!$C$5:$C$297,B95,'Risk Register'!$U$5:$U$297,"High"),"High",IF(COUNTIFS('Risk Register'!$C$5:$C$297,B95,'Risk Register'!$U$5:$U$297,"Moderate"),"Moderate",IF(COUNTIFS('Risk Register'!$C$5:$C$297,B95,'Risk Register'!$U$5:$U$297,"Low"),"Low","Very Low"))))</f>
        <v>Low</v>
      </c>
      <c r="L95" s="7" t="s">
        <v>847</v>
      </c>
      <c r="M95" s="9" t="str">
        <f t="shared" si="5"/>
        <v>Matches</v>
      </c>
      <c r="N95" s="7" t="s">
        <v>1352</v>
      </c>
      <c r="O95" s="9" t="s">
        <v>97</v>
      </c>
      <c r="P95" s="7" t="s">
        <v>1415</v>
      </c>
      <c r="Q95" s="9" t="s">
        <v>1357</v>
      </c>
    </row>
    <row r="96" spans="1:17" ht="25.5" x14ac:dyDescent="0.25">
      <c r="A96" s="7">
        <f t="shared" si="4"/>
        <v>78</v>
      </c>
      <c r="B96" s="7" t="s">
        <v>988</v>
      </c>
      <c r="C96" s="10" t="s">
        <v>1337</v>
      </c>
      <c r="D96" s="9" t="s">
        <v>989</v>
      </c>
      <c r="E96" s="9" t="s">
        <v>170</v>
      </c>
      <c r="F96" s="9" t="s">
        <v>295</v>
      </c>
      <c r="G96" s="7" t="s">
        <v>990</v>
      </c>
      <c r="H96" s="8">
        <f>COUNTIF('Risk Register'!$C$5:$C$297,B96)</f>
        <v>2</v>
      </c>
      <c r="I96" s="8">
        <f>_xlfn.MAXIFS('Risk Register'!$O$5:$O$297,'Risk Register'!$C$5:$C$297,B96)</f>
        <v>8</v>
      </c>
      <c r="J96" s="8">
        <f>_xlfn.MAXIFS('Risk Register'!$T$5:$T$297,'Risk Register'!$C$5:$C$297,B96)</f>
        <v>4</v>
      </c>
      <c r="K96" s="8" t="str">
        <f>IF(COUNTIFS('Risk Register'!$C$5:$C$297,B96,'Risk Register'!$U$5:$U$297,"Critical"),"Critical",IF(COUNTIFS('Risk Register'!$C$5:$C$297,B96,'Risk Register'!$U$5:$U$297,"High"),"High",IF(COUNTIFS('Risk Register'!$C$5:$C$297,B96,'Risk Register'!$U$5:$U$297,"Moderate"),"Moderate",IF(COUNTIFS('Risk Register'!$C$5:$C$297,B96,'Risk Register'!$U$5:$U$297,"Low"),"Low","Very Low"))))</f>
        <v>Moderate</v>
      </c>
      <c r="L96" s="7" t="s">
        <v>316</v>
      </c>
      <c r="M96" s="9" t="str">
        <f t="shared" si="5"/>
        <v>Differs - form states 8</v>
      </c>
      <c r="N96" s="7" t="s">
        <v>1352</v>
      </c>
      <c r="O96" s="9" t="s">
        <v>97</v>
      </c>
      <c r="P96" s="7" t="s">
        <v>990</v>
      </c>
      <c r="Q96" s="9" t="s">
        <v>1416</v>
      </c>
    </row>
    <row r="97" spans="1:17" ht="38.25" x14ac:dyDescent="0.25">
      <c r="A97" s="7">
        <f t="shared" si="4"/>
        <v>78</v>
      </c>
      <c r="B97" s="7" t="s">
        <v>1039</v>
      </c>
      <c r="C97" s="10" t="s">
        <v>1338</v>
      </c>
      <c r="D97" s="9" t="s">
        <v>1040</v>
      </c>
      <c r="E97" s="9" t="s">
        <v>445</v>
      </c>
      <c r="F97" s="9" t="s">
        <v>51</v>
      </c>
      <c r="G97" s="7" t="s">
        <v>71</v>
      </c>
      <c r="H97" s="8">
        <f>COUNTIF('Risk Register'!$C$5:$C$297,B97)</f>
        <v>2</v>
      </c>
      <c r="I97" s="8">
        <f>_xlfn.MAXIFS('Risk Register'!$O$5:$O$297,'Risk Register'!$C$5:$C$297,B97)</f>
        <v>6</v>
      </c>
      <c r="J97" s="8">
        <f>_xlfn.MAXIFS('Risk Register'!$T$5:$T$297,'Risk Register'!$C$5:$C$297,B97)</f>
        <v>4</v>
      </c>
      <c r="K97" s="8" t="str">
        <f>IF(COUNTIFS('Risk Register'!$C$5:$C$297,B97,'Risk Register'!$U$5:$U$297,"Critical"),"Critical",IF(COUNTIFS('Risk Register'!$C$5:$C$297,B97,'Risk Register'!$U$5:$U$297,"High"),"High",IF(COUNTIFS('Risk Register'!$C$5:$C$297,B97,'Risk Register'!$U$5:$U$297,"Moderate"),"Moderate",IF(COUNTIFS('Risk Register'!$C$5:$C$297,B97,'Risk Register'!$U$5:$U$297,"Low"),"Low","Very Low"))))</f>
        <v>Low</v>
      </c>
      <c r="L97" s="7" t="s">
        <v>742</v>
      </c>
      <c r="M97" s="9" t="str">
        <f t="shared" si="5"/>
        <v>Matches</v>
      </c>
      <c r="N97" s="7" t="s">
        <v>1352</v>
      </c>
      <c r="O97" s="9" t="s">
        <v>883</v>
      </c>
      <c r="P97" s="7" t="s">
        <v>71</v>
      </c>
      <c r="Q97" s="9" t="s">
        <v>1417</v>
      </c>
    </row>
    <row r="98" spans="1:17" ht="38.25" x14ac:dyDescent="0.25">
      <c r="A98" s="7">
        <f t="shared" si="4"/>
        <v>78</v>
      </c>
      <c r="B98" s="7" t="s">
        <v>1056</v>
      </c>
      <c r="C98" s="10" t="s">
        <v>1337</v>
      </c>
      <c r="D98" s="9" t="s">
        <v>1040</v>
      </c>
      <c r="E98" s="9" t="s">
        <v>445</v>
      </c>
      <c r="F98" s="9" t="s">
        <v>51</v>
      </c>
      <c r="G98" s="7" t="s">
        <v>52</v>
      </c>
      <c r="H98" s="8">
        <f>COUNTIF('Risk Register'!$C$5:$C$297,B98)</f>
        <v>2</v>
      </c>
      <c r="I98" s="8">
        <f>_xlfn.MAXIFS('Risk Register'!$O$5:$O$297,'Risk Register'!$C$5:$C$297,B98)</f>
        <v>6</v>
      </c>
      <c r="J98" s="8">
        <f>_xlfn.MAXIFS('Risk Register'!$T$5:$T$297,'Risk Register'!$C$5:$C$297,B98)</f>
        <v>4</v>
      </c>
      <c r="K98" s="8" t="str">
        <f>IF(COUNTIFS('Risk Register'!$C$5:$C$297,B98,'Risk Register'!$U$5:$U$297,"Critical"),"Critical",IF(COUNTIFS('Risk Register'!$C$5:$C$297,B98,'Risk Register'!$U$5:$U$297,"High"),"High",IF(COUNTIFS('Risk Register'!$C$5:$C$297,B98,'Risk Register'!$U$5:$U$297,"Moderate"),"Moderate",IF(COUNTIFS('Risk Register'!$C$5:$C$297,B98,'Risk Register'!$U$5:$U$297,"Low"),"Low","Very Low"))))</f>
        <v>Low</v>
      </c>
      <c r="L98" s="7" t="s">
        <v>742</v>
      </c>
      <c r="M98" s="9" t="str">
        <f t="shared" si="5"/>
        <v>Matches</v>
      </c>
      <c r="N98" s="7" t="s">
        <v>1352</v>
      </c>
      <c r="O98" s="9" t="s">
        <v>883</v>
      </c>
      <c r="P98" s="7" t="s">
        <v>71</v>
      </c>
      <c r="Q98" s="9" t="s">
        <v>1417</v>
      </c>
    </row>
    <row r="99" spans="1:17" ht="25.5" x14ac:dyDescent="0.25">
      <c r="A99" s="7">
        <f t="shared" si="4"/>
        <v>78</v>
      </c>
      <c r="B99" s="7" t="s">
        <v>1062</v>
      </c>
      <c r="C99" s="10" t="s">
        <v>1337</v>
      </c>
      <c r="D99" s="9" t="s">
        <v>1063</v>
      </c>
      <c r="E99" s="9" t="s">
        <v>155</v>
      </c>
      <c r="F99" s="9" t="s">
        <v>51</v>
      </c>
      <c r="G99" s="7" t="s">
        <v>1064</v>
      </c>
      <c r="H99" s="8">
        <f>COUNTIF('Risk Register'!$C$5:$C$297,B99)</f>
        <v>2</v>
      </c>
      <c r="I99" s="8">
        <f>_xlfn.MAXIFS('Risk Register'!$O$5:$O$297,'Risk Register'!$C$5:$C$297,B99)</f>
        <v>6</v>
      </c>
      <c r="J99" s="8">
        <f>_xlfn.MAXIFS('Risk Register'!$T$5:$T$297,'Risk Register'!$C$5:$C$297,B99)</f>
        <v>4</v>
      </c>
      <c r="K99" s="8" t="str">
        <f>IF(COUNTIFS('Risk Register'!$C$5:$C$297,B99,'Risk Register'!$U$5:$U$297,"Critical"),"Critical",IF(COUNTIFS('Risk Register'!$C$5:$C$297,B99,'Risk Register'!$U$5:$U$297,"High"),"High",IF(COUNTIFS('Risk Register'!$C$5:$C$297,B99,'Risk Register'!$U$5:$U$297,"Moderate"),"Moderate",IF(COUNTIFS('Risk Register'!$C$5:$C$297,B99,'Risk Register'!$U$5:$U$297,"Low"),"Low","Very Low"))))</f>
        <v>Low</v>
      </c>
      <c r="L99" s="7" t="s">
        <v>847</v>
      </c>
      <c r="M99" s="9" t="str">
        <f t="shared" si="5"/>
        <v>Matches</v>
      </c>
      <c r="N99" s="7" t="s">
        <v>1352</v>
      </c>
      <c r="O99" s="9" t="s">
        <v>97</v>
      </c>
      <c r="P99" s="7" t="s">
        <v>1064</v>
      </c>
      <c r="Q99" s="9" t="s">
        <v>1404</v>
      </c>
    </row>
    <row r="100" spans="1:17" ht="25.5" x14ac:dyDescent="0.25">
      <c r="A100" s="7">
        <f t="shared" si="4"/>
        <v>96</v>
      </c>
      <c r="B100" s="7" t="s">
        <v>1135</v>
      </c>
      <c r="C100" s="10" t="s">
        <v>1338</v>
      </c>
      <c r="D100" s="9" t="s">
        <v>1136</v>
      </c>
      <c r="E100" s="9" t="s">
        <v>36</v>
      </c>
      <c r="F100" s="9" t="s">
        <v>51</v>
      </c>
      <c r="G100" s="7" t="s">
        <v>91</v>
      </c>
      <c r="H100" s="8">
        <f>COUNTIF('Risk Register'!$C$5:$C$297,B100)</f>
        <v>2</v>
      </c>
      <c r="I100" s="8">
        <f>_xlfn.MAXIFS('Risk Register'!$O$5:$O$297,'Risk Register'!$C$5:$C$297,B100)</f>
        <v>8</v>
      </c>
      <c r="J100" s="8">
        <f>_xlfn.MAXIFS('Risk Register'!$T$5:$T$297,'Risk Register'!$C$5:$C$297,B100)</f>
        <v>3</v>
      </c>
      <c r="K100" s="8" t="str">
        <f>IF(COUNTIFS('Risk Register'!$C$5:$C$297,B100,'Risk Register'!$U$5:$U$297,"Critical"),"Critical",IF(COUNTIFS('Risk Register'!$C$5:$C$297,B100,'Risk Register'!$U$5:$U$297,"High"),"High",IF(COUNTIFS('Risk Register'!$C$5:$C$297,B100,'Risk Register'!$U$5:$U$297,"Moderate"),"Moderate",IF(COUNTIFS('Risk Register'!$C$5:$C$297,B100,'Risk Register'!$U$5:$U$297,"Low"),"Low","Very Low"))))</f>
        <v>Low</v>
      </c>
      <c r="L100" s="7" t="s">
        <v>759</v>
      </c>
      <c r="M100" s="9" t="str">
        <f t="shared" si="5"/>
        <v>Matches</v>
      </c>
      <c r="N100" s="7" t="s">
        <v>1352</v>
      </c>
      <c r="O100" s="9" t="s">
        <v>883</v>
      </c>
      <c r="P100" s="7" t="s">
        <v>91</v>
      </c>
      <c r="Q100" s="9" t="s">
        <v>1384</v>
      </c>
    </row>
    <row r="101" spans="1:17" ht="25.5" x14ac:dyDescent="0.25">
      <c r="A101" s="7">
        <f t="shared" si="4"/>
        <v>96</v>
      </c>
      <c r="B101" s="7" t="s">
        <v>1148</v>
      </c>
      <c r="C101" s="10" t="s">
        <v>1337</v>
      </c>
      <c r="D101" s="9" t="s">
        <v>1136</v>
      </c>
      <c r="E101" s="9" t="s">
        <v>36</v>
      </c>
      <c r="F101" s="9" t="s">
        <v>51</v>
      </c>
      <c r="G101" s="7" t="s">
        <v>52</v>
      </c>
      <c r="H101" s="8">
        <f>COUNTIF('Risk Register'!$C$5:$C$297,B101)</f>
        <v>2</v>
      </c>
      <c r="I101" s="8">
        <f>_xlfn.MAXIFS('Risk Register'!$O$5:$O$297,'Risk Register'!$C$5:$C$297,B101)</f>
        <v>8</v>
      </c>
      <c r="J101" s="8">
        <f>_xlfn.MAXIFS('Risk Register'!$T$5:$T$297,'Risk Register'!$C$5:$C$297,B101)</f>
        <v>3</v>
      </c>
      <c r="K101" s="8" t="str">
        <f>IF(COUNTIFS('Risk Register'!$C$5:$C$297,B101,'Risk Register'!$U$5:$U$297,"Critical"),"Critical",IF(COUNTIFS('Risk Register'!$C$5:$C$297,B101,'Risk Register'!$U$5:$U$297,"High"),"High",IF(COUNTIFS('Risk Register'!$C$5:$C$297,B101,'Risk Register'!$U$5:$U$297,"Moderate"),"Moderate",IF(COUNTIFS('Risk Register'!$C$5:$C$297,B101,'Risk Register'!$U$5:$U$297,"Low"),"Low","Very Low"))))</f>
        <v>Low</v>
      </c>
      <c r="L101" s="7" t="s">
        <v>759</v>
      </c>
      <c r="M101" s="9" t="str">
        <f t="shared" ref="M101:M132" si="6">IF(L101="","No value",IF(IFERROR(VALUE(TRIM(MID(L101,FIND(" - ",L101)+3,3))),-1)=J101,"Matches","Differs - form states "&amp;TRIM(MID(L101,FIND(" - ",L101)+3,3))))</f>
        <v>Matches</v>
      </c>
      <c r="N101" s="7" t="s">
        <v>1352</v>
      </c>
      <c r="O101" s="9" t="s">
        <v>883</v>
      </c>
      <c r="P101" s="7" t="s">
        <v>91</v>
      </c>
      <c r="Q101" s="9" t="s">
        <v>1384</v>
      </c>
    </row>
  </sheetData>
  <autoFilter ref="A4:Q101" xr:uid="{00000000-0009-0000-0000-000005000000}"/>
  <conditionalFormatting sqref="C5:C101">
    <cfRule type="expression" dxfId="272" priority="7">
      <formula>C5="Fremantle"</formula>
    </cfRule>
  </conditionalFormatting>
  <conditionalFormatting sqref="K5:K101">
    <cfRule type="expression" dxfId="271" priority="2">
      <formula>K5="Critical"</formula>
    </cfRule>
    <cfRule type="expression" dxfId="270" priority="3">
      <formula>K5="High"</formula>
    </cfRule>
    <cfRule type="expression" dxfId="269" priority="4">
      <formula>K5="Moderate"</formula>
    </cfRule>
    <cfRule type="expression" dxfId="268" priority="5">
      <formula>K5="Low"</formula>
    </cfRule>
    <cfRule type="expression" dxfId="267" priority="6">
      <formula>K5="Very Low"</formula>
    </cfRule>
  </conditionalFormatting>
  <conditionalFormatting sqref="M5:M101">
    <cfRule type="expression" dxfId="266" priority="8">
      <formula>LEFT(M5,6)="Differ"</formula>
    </cfRule>
  </conditionalFormatting>
  <conditionalFormatting sqref="N5:N101">
    <cfRule type="expression" dxfId="265" priority="9">
      <formula>N5="Not Approved"</formula>
    </cfRule>
  </conditionalFormatting>
  <dataValidations count="1">
    <dataValidation type="list" showErrorMessage="1" errorTitle="School" error="Choose Perth or Fremantle." sqref="C5:C101" xr:uid="{00000000-0002-0000-0500-000000000000}">
      <formula1>"Perth,Fremantle"</formula1>
      <formula2>0</formula2>
    </dataValidation>
  </dataValidations>
  <pageMargins left="0.75" right="0.75" top="1" bottom="1" header="0.511811023622047" footer="0.511811023622047"/>
  <pageSetup paperSize="9" orientation="portrait" horizontalDpi="300" verticalDpi="300"/>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0"/>
  <sheetViews>
    <sheetView zoomScaleNormal="100" workbookViewId="0"/>
  </sheetViews>
  <sheetFormatPr defaultColWidth="8.7109375" defaultRowHeight="15" x14ac:dyDescent="0.25"/>
  <cols>
    <col min="1" max="1" width="34" customWidth="1"/>
    <col min="2" max="6" width="13" customWidth="1"/>
  </cols>
  <sheetData>
    <row r="1" spans="1:6" ht="18" x14ac:dyDescent="0.25">
      <c r="A1" s="2" t="s">
        <v>1418</v>
      </c>
    </row>
    <row r="2" spans="1:6" x14ac:dyDescent="0.25">
      <c r="A2" s="3" t="s">
        <v>1419</v>
      </c>
    </row>
    <row r="4" spans="1:6" ht="15.75" x14ac:dyDescent="0.25">
      <c r="A4" s="16" t="s">
        <v>1420</v>
      </c>
    </row>
    <row r="5" spans="1:6" x14ac:dyDescent="0.25">
      <c r="A5" s="5" t="s">
        <v>1421</v>
      </c>
      <c r="B5" s="5" t="s">
        <v>1337</v>
      </c>
      <c r="C5" s="5" t="s">
        <v>1338</v>
      </c>
      <c r="D5" s="5" t="s">
        <v>1336</v>
      </c>
      <c r="E5" s="5" t="s">
        <v>1422</v>
      </c>
      <c r="F5" s="5" t="s">
        <v>1423</v>
      </c>
    </row>
    <row r="6" spans="1:6" x14ac:dyDescent="0.25">
      <c r="A6" s="29" t="s">
        <v>1424</v>
      </c>
      <c r="B6" s="29">
        <f>COUNTIFS('Risk Register'!$D$5:$D$297,"Perth",'Risk Register'!$P$5:$P$297,A6)</f>
        <v>2</v>
      </c>
      <c r="C6" s="29">
        <f>COUNTIFS('Risk Register'!$D$5:$D$297,"Fremantle",'Risk Register'!$P$5:$P$297,A6)</f>
        <v>2</v>
      </c>
      <c r="D6" s="29">
        <f>B6+C6</f>
        <v>4</v>
      </c>
      <c r="E6" s="30">
        <f t="shared" ref="E6:F10" si="0">IF(B$11=0,0,B6/B$11)</f>
        <v>1.2422360248447204E-2</v>
      </c>
      <c r="F6" s="30">
        <f t="shared" si="0"/>
        <v>1.5151515151515152E-2</v>
      </c>
    </row>
    <row r="7" spans="1:6" x14ac:dyDescent="0.25">
      <c r="A7" s="29" t="s">
        <v>1425</v>
      </c>
      <c r="B7" s="29">
        <f>COUNTIFS('Risk Register'!$D$5:$D$297,"Perth",'Risk Register'!$P$5:$P$297,A7)</f>
        <v>55</v>
      </c>
      <c r="C7" s="29">
        <f>COUNTIFS('Risk Register'!$D$5:$D$297,"Fremantle",'Risk Register'!$P$5:$P$297,A7)</f>
        <v>65</v>
      </c>
      <c r="D7" s="29">
        <f>B7+C7</f>
        <v>120</v>
      </c>
      <c r="E7" s="30">
        <f t="shared" si="0"/>
        <v>0.34161490683229812</v>
      </c>
      <c r="F7" s="30">
        <f t="shared" si="0"/>
        <v>0.49242424242424243</v>
      </c>
    </row>
    <row r="8" spans="1:6" x14ac:dyDescent="0.25">
      <c r="A8" s="29" t="s">
        <v>1426</v>
      </c>
      <c r="B8" s="29">
        <f>COUNTIFS('Risk Register'!$D$5:$D$297,"Perth",'Risk Register'!$P$5:$P$297,A8)</f>
        <v>75</v>
      </c>
      <c r="C8" s="29">
        <f>COUNTIFS('Risk Register'!$D$5:$D$297,"Fremantle",'Risk Register'!$P$5:$P$297,A8)</f>
        <v>56</v>
      </c>
      <c r="D8" s="29">
        <f>B8+C8</f>
        <v>131</v>
      </c>
      <c r="E8" s="30">
        <f t="shared" si="0"/>
        <v>0.46583850931677018</v>
      </c>
      <c r="F8" s="30">
        <f t="shared" si="0"/>
        <v>0.42424242424242425</v>
      </c>
    </row>
    <row r="9" spans="1:6" x14ac:dyDescent="0.25">
      <c r="A9" s="29" t="s">
        <v>1427</v>
      </c>
      <c r="B9" s="29">
        <f>COUNTIFS('Risk Register'!$D$5:$D$297,"Perth",'Risk Register'!$P$5:$P$297,A9)</f>
        <v>7</v>
      </c>
      <c r="C9" s="29">
        <f>COUNTIFS('Risk Register'!$D$5:$D$297,"Fremantle",'Risk Register'!$P$5:$P$297,A9)</f>
        <v>5</v>
      </c>
      <c r="D9" s="29">
        <f>B9+C9</f>
        <v>12</v>
      </c>
      <c r="E9" s="30">
        <f t="shared" si="0"/>
        <v>4.3478260869565216E-2</v>
      </c>
      <c r="F9" s="30">
        <f t="shared" si="0"/>
        <v>3.787878787878788E-2</v>
      </c>
    </row>
    <row r="10" spans="1:6" x14ac:dyDescent="0.25">
      <c r="A10" s="29" t="s">
        <v>1428</v>
      </c>
      <c r="B10" s="29">
        <f>COUNTIFS('Risk Register'!$D$5:$D$297,"Perth",'Risk Register'!$P$5:$P$297,A10)</f>
        <v>22</v>
      </c>
      <c r="C10" s="29">
        <f>COUNTIFS('Risk Register'!$D$5:$D$297,"Fremantle",'Risk Register'!$P$5:$P$297,A10)</f>
        <v>4</v>
      </c>
      <c r="D10" s="29">
        <f>B10+C10</f>
        <v>26</v>
      </c>
      <c r="E10" s="30">
        <f t="shared" si="0"/>
        <v>0.13664596273291926</v>
      </c>
      <c r="F10" s="30">
        <f t="shared" si="0"/>
        <v>3.0303030303030304E-2</v>
      </c>
    </row>
    <row r="11" spans="1:6" x14ac:dyDescent="0.25">
      <c r="A11" s="31" t="s">
        <v>1336</v>
      </c>
      <c r="B11" s="31">
        <f>SUM(B6:B10)</f>
        <v>161</v>
      </c>
      <c r="C11" s="31">
        <f>SUM(C6:C10)</f>
        <v>132</v>
      </c>
      <c r="D11" s="31">
        <f>SUM(D6:D10)</f>
        <v>293</v>
      </c>
      <c r="E11" s="32"/>
      <c r="F11" s="32"/>
    </row>
    <row r="13" spans="1:6" ht="15.75" x14ac:dyDescent="0.25">
      <c r="A13" s="16" t="s">
        <v>1429</v>
      </c>
    </row>
    <row r="14" spans="1:6" x14ac:dyDescent="0.25">
      <c r="A14" s="5" t="s">
        <v>1421</v>
      </c>
      <c r="B14" s="5" t="s">
        <v>1337</v>
      </c>
      <c r="C14" s="5" t="s">
        <v>1338</v>
      </c>
      <c r="D14" s="5" t="s">
        <v>1336</v>
      </c>
      <c r="E14" s="5" t="s">
        <v>1422</v>
      </c>
      <c r="F14" s="5" t="s">
        <v>1423</v>
      </c>
    </row>
    <row r="15" spans="1:6" x14ac:dyDescent="0.25">
      <c r="A15" s="29" t="s">
        <v>1424</v>
      </c>
      <c r="B15" s="29">
        <f>COUNTIFS('Risk Register'!$D$5:$D$297,"Perth",'Risk Register'!$U$5:$U$297,A15)</f>
        <v>0</v>
      </c>
      <c r="C15" s="29">
        <f>COUNTIFS('Risk Register'!$D$5:$D$297,"Fremantle",'Risk Register'!$U$5:$U$297,A15)</f>
        <v>0</v>
      </c>
      <c r="D15" s="29">
        <f>B15+C15</f>
        <v>0</v>
      </c>
      <c r="E15" s="30">
        <f t="shared" ref="E15:F19" si="1">IF(B$20=0,0,B15/B$20)</f>
        <v>0</v>
      </c>
      <c r="F15" s="30">
        <f t="shared" si="1"/>
        <v>0</v>
      </c>
    </row>
    <row r="16" spans="1:6" x14ac:dyDescent="0.25">
      <c r="A16" s="29" t="s">
        <v>1425</v>
      </c>
      <c r="B16" s="29">
        <f>COUNTIFS('Risk Register'!$D$5:$D$297,"Perth",'Risk Register'!$U$5:$U$297,A16)</f>
        <v>8</v>
      </c>
      <c r="C16" s="29">
        <f>COUNTIFS('Risk Register'!$D$5:$D$297,"Fremantle",'Risk Register'!$U$5:$U$297,A16)</f>
        <v>7</v>
      </c>
      <c r="D16" s="29">
        <f>B16+C16</f>
        <v>15</v>
      </c>
      <c r="E16" s="30">
        <f t="shared" si="1"/>
        <v>4.9689440993788817E-2</v>
      </c>
      <c r="F16" s="30">
        <f t="shared" si="1"/>
        <v>5.3030303030303032E-2</v>
      </c>
    </row>
    <row r="17" spans="1:6" x14ac:dyDescent="0.25">
      <c r="A17" s="29" t="s">
        <v>1426</v>
      </c>
      <c r="B17" s="29">
        <f>COUNTIFS('Risk Register'!$D$5:$D$297,"Perth",'Risk Register'!$U$5:$U$297,A17)</f>
        <v>88</v>
      </c>
      <c r="C17" s="29">
        <f>COUNTIFS('Risk Register'!$D$5:$D$297,"Fremantle",'Risk Register'!$U$5:$U$297,A17)</f>
        <v>75</v>
      </c>
      <c r="D17" s="29">
        <f>B17+C17</f>
        <v>163</v>
      </c>
      <c r="E17" s="30">
        <f t="shared" si="1"/>
        <v>0.54658385093167705</v>
      </c>
      <c r="F17" s="30">
        <f t="shared" si="1"/>
        <v>0.56818181818181823</v>
      </c>
    </row>
    <row r="18" spans="1:6" x14ac:dyDescent="0.25">
      <c r="A18" s="29" t="s">
        <v>1427</v>
      </c>
      <c r="B18" s="29">
        <f>COUNTIFS('Risk Register'!$D$5:$D$297,"Perth",'Risk Register'!$U$5:$U$297,A18)</f>
        <v>32</v>
      </c>
      <c r="C18" s="29">
        <f>COUNTIFS('Risk Register'!$D$5:$D$297,"Fremantle",'Risk Register'!$U$5:$U$297,A18)</f>
        <v>31</v>
      </c>
      <c r="D18" s="29">
        <f>B18+C18</f>
        <v>63</v>
      </c>
      <c r="E18" s="30">
        <f t="shared" si="1"/>
        <v>0.19875776397515527</v>
      </c>
      <c r="F18" s="30">
        <f t="shared" si="1"/>
        <v>0.23484848484848486</v>
      </c>
    </row>
    <row r="19" spans="1:6" x14ac:dyDescent="0.25">
      <c r="A19" s="29" t="s">
        <v>1428</v>
      </c>
      <c r="B19" s="29">
        <f>COUNTIFS('Risk Register'!$D$5:$D$297,"Perth",'Risk Register'!$U$5:$U$297,A19)</f>
        <v>33</v>
      </c>
      <c r="C19" s="29">
        <f>COUNTIFS('Risk Register'!$D$5:$D$297,"Fremantle",'Risk Register'!$U$5:$U$297,A19)</f>
        <v>19</v>
      </c>
      <c r="D19" s="29">
        <f>B19+C19</f>
        <v>52</v>
      </c>
      <c r="E19" s="30">
        <f t="shared" si="1"/>
        <v>0.20496894409937888</v>
      </c>
      <c r="F19" s="30">
        <f t="shared" si="1"/>
        <v>0.14393939393939395</v>
      </c>
    </row>
    <row r="20" spans="1:6" x14ac:dyDescent="0.25">
      <c r="A20" s="31" t="s">
        <v>1336</v>
      </c>
      <c r="B20" s="31">
        <f>SUM(B15:B19)</f>
        <v>161</v>
      </c>
      <c r="C20" s="31">
        <f>SUM(C15:C19)</f>
        <v>132</v>
      </c>
      <c r="D20" s="31">
        <f>SUM(D15:D19)</f>
        <v>293</v>
      </c>
      <c r="E20" s="32"/>
      <c r="F20" s="32"/>
    </row>
    <row r="22" spans="1:6" ht="15.75" x14ac:dyDescent="0.25">
      <c r="A22" s="16" t="s">
        <v>1430</v>
      </c>
    </row>
    <row r="23" spans="1:6" x14ac:dyDescent="0.25">
      <c r="A23" s="5" t="s">
        <v>1431</v>
      </c>
      <c r="B23" s="5" t="s">
        <v>1337</v>
      </c>
      <c r="C23" s="5" t="s">
        <v>1338</v>
      </c>
      <c r="D23" s="5" t="s">
        <v>1336</v>
      </c>
    </row>
    <row r="24" spans="1:6" x14ac:dyDescent="0.25">
      <c r="A24" s="33" t="s">
        <v>1432</v>
      </c>
      <c r="B24" s="29">
        <f>COUNTIF('Summary by Assessment'!$C$5:$C$101,"Perth")</f>
        <v>57</v>
      </c>
      <c r="C24" s="29">
        <f>COUNTIF('Summary by Assessment'!$C$5:$C$101,"Fremantle")</f>
        <v>40</v>
      </c>
      <c r="D24" s="29">
        <f>COUNTA('Summary by Assessment'!$B$5:$B$101)</f>
        <v>97</v>
      </c>
    </row>
    <row r="25" spans="1:6" x14ac:dyDescent="0.25">
      <c r="A25" s="33" t="s">
        <v>1433</v>
      </c>
      <c r="B25" s="29">
        <f>COUNTIF('Risk Register'!$D$5:$D$297,"Perth")</f>
        <v>161</v>
      </c>
      <c r="C25" s="29">
        <f>COUNTIF('Risk Register'!$D$5:$D$297,"Fremantle")</f>
        <v>132</v>
      </c>
      <c r="D25" s="29">
        <f>COUNTA('Risk Register'!$B$5:$B$297)</f>
        <v>293</v>
      </c>
    </row>
    <row r="26" spans="1:6" x14ac:dyDescent="0.25">
      <c r="A26" s="33" t="s">
        <v>1434</v>
      </c>
      <c r="B26" s="34">
        <f>IFERROR(AVERAGEIF('Risk Register'!$D$5:$D$297,"Perth",'Risk Register'!$O$5:$O$297),0)</f>
        <v>8.5590062111801242</v>
      </c>
      <c r="C26" s="34">
        <f>IFERROR(AVERAGEIF('Risk Register'!$D$5:$D$297,"Fremantle",'Risk Register'!$O$5:$O$297),0)</f>
        <v>10.166666666666666</v>
      </c>
      <c r="D26" s="34">
        <f>AVERAGE('Risk Register'!$O$5:$O$297)</f>
        <v>9.2832764505119449</v>
      </c>
    </row>
    <row r="27" spans="1:6" x14ac:dyDescent="0.25">
      <c r="A27" s="33" t="s">
        <v>1435</v>
      </c>
      <c r="B27" s="34">
        <f>IFERROR(AVERAGEIF('Risk Register'!$D$5:$D$297,"Perth",'Risk Register'!$T$5:$T$297),0)</f>
        <v>5.1801242236024843</v>
      </c>
      <c r="C27" s="34">
        <f>IFERROR(AVERAGEIF('Risk Register'!$D$5:$D$297,"Fremantle",'Risk Register'!$T$5:$T$297),0)</f>
        <v>5.6060606060606064</v>
      </c>
      <c r="D27" s="34">
        <f>AVERAGE('Risk Register'!$T$5:$T$297)</f>
        <v>5.3720136518771335</v>
      </c>
    </row>
    <row r="28" spans="1:6" x14ac:dyDescent="0.25">
      <c r="A28" s="33" t="s">
        <v>1344</v>
      </c>
      <c r="B28" s="29">
        <f>_xlfn.MAXIFS('Risk Register'!$T$5:$T$297,'Risk Register'!$D$5:$D$297,"Perth")</f>
        <v>12</v>
      </c>
      <c r="C28" s="29">
        <f>_xlfn.MAXIFS('Risk Register'!$T$5:$T$297,'Risk Register'!$D$5:$D$297,"Fremantle")</f>
        <v>12</v>
      </c>
      <c r="D28" s="29">
        <f>MAX('Risk Register'!$T$5:$T$297)</f>
        <v>12</v>
      </c>
    </row>
    <row r="29" spans="1:6" x14ac:dyDescent="0.25">
      <c r="A29" s="33" t="s">
        <v>1436</v>
      </c>
      <c r="B29" s="29">
        <f>COUNTIFS('Summary by Assessment'!$C$5:$C$101,"Perth",'Summary by Assessment'!$N$5:$N$101,"Not Approved")</f>
        <v>2</v>
      </c>
      <c r="C29" s="29">
        <f>COUNTIFS('Summary by Assessment'!$C$5:$C$101,"Fremantle",'Summary by Assessment'!$N$5:$N$101,"Not Approved")</f>
        <v>1</v>
      </c>
      <c r="D29" s="29">
        <f>COUNTIF('Summary by Assessment'!$N$5:$N$101,"Not Approved")</f>
        <v>3</v>
      </c>
    </row>
    <row r="30" spans="1:6" x14ac:dyDescent="0.25">
      <c r="A30" s="33" t="s">
        <v>1437</v>
      </c>
      <c r="B30" s="29">
        <f>COUNTIFS('Risk Register'!$D$5:$D$297,"Perth",'Risk Register'!$AA$5:$AA$297,"?*")</f>
        <v>24</v>
      </c>
      <c r="C30" s="29">
        <f>COUNTIFS('Risk Register'!$D$5:$D$297,"Fremantle",'Risk Register'!$AA$5:$AA$297,"?*")</f>
        <v>9</v>
      </c>
      <c r="D30" s="29">
        <f>COUNTIF('Risk Register'!$AA$5:$AA$297,"?*")</f>
        <v>33</v>
      </c>
    </row>
  </sheetData>
  <conditionalFormatting sqref="A6:A10">
    <cfRule type="expression" dxfId="264" priority="2">
      <formula>$A6="Critical"</formula>
    </cfRule>
    <cfRule type="expression" dxfId="263" priority="3">
      <formula>$A6="High"</formula>
    </cfRule>
    <cfRule type="expression" dxfId="262" priority="4">
      <formula>$A6="Moderate"</formula>
    </cfRule>
    <cfRule type="expression" dxfId="261" priority="5">
      <formula>$A6="Low"</formula>
    </cfRule>
    <cfRule type="expression" dxfId="260" priority="6">
      <formula>$A6="Very Low"</formula>
    </cfRule>
  </conditionalFormatting>
  <conditionalFormatting sqref="A15:A19">
    <cfRule type="expression" dxfId="259" priority="27">
      <formula>$A15="Critical"</formula>
    </cfRule>
    <cfRule type="expression" dxfId="258" priority="28">
      <formula>$A15="High"</formula>
    </cfRule>
    <cfRule type="expression" dxfId="257" priority="29">
      <formula>$A15="Moderate"</formula>
    </cfRule>
    <cfRule type="expression" dxfId="256" priority="30">
      <formula>$A15="Low"</formula>
    </cfRule>
    <cfRule type="expression" dxfId="255" priority="31">
      <formula>$A15="Very Low"</formula>
    </cfRule>
  </conditionalFormatting>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9"/>
  <sheetViews>
    <sheetView zoomScaleNormal="100" workbookViewId="0"/>
  </sheetViews>
  <sheetFormatPr defaultColWidth="8.7109375" defaultRowHeight="15" x14ac:dyDescent="0.25"/>
  <cols>
    <col min="1" max="1" width="24" customWidth="1"/>
    <col min="2" max="6" width="16" customWidth="1"/>
    <col min="7" max="7" width="3" customWidth="1"/>
    <col min="8" max="8" width="24" customWidth="1"/>
    <col min="9" max="13" width="14" customWidth="1"/>
  </cols>
  <sheetData>
    <row r="1" spans="1:13" ht="18" x14ac:dyDescent="0.25">
      <c r="A1" s="2" t="s">
        <v>1438</v>
      </c>
    </row>
    <row r="2" spans="1:13" x14ac:dyDescent="0.25">
      <c r="A2" s="3" t="s">
        <v>1439</v>
      </c>
    </row>
    <row r="4" spans="1:13" x14ac:dyDescent="0.25">
      <c r="A4" s="5" t="s">
        <v>1440</v>
      </c>
      <c r="B4" s="5" t="s">
        <v>1441</v>
      </c>
      <c r="D4" s="5" t="s">
        <v>1440</v>
      </c>
      <c r="E4" s="5" t="s">
        <v>1442</v>
      </c>
    </row>
    <row r="5" spans="1:13" x14ac:dyDescent="0.25">
      <c r="A5" s="7">
        <v>1</v>
      </c>
      <c r="B5" s="7" t="s">
        <v>1443</v>
      </c>
      <c r="D5" s="7">
        <v>1</v>
      </c>
      <c r="E5" s="7" t="s">
        <v>1444</v>
      </c>
    </row>
    <row r="6" spans="1:13" x14ac:dyDescent="0.25">
      <c r="A6" s="7">
        <v>2</v>
      </c>
      <c r="B6" s="7" t="s">
        <v>1445</v>
      </c>
      <c r="D6" s="7">
        <v>2</v>
      </c>
      <c r="E6" s="7" t="s">
        <v>1446</v>
      </c>
    </row>
    <row r="7" spans="1:13" x14ac:dyDescent="0.25">
      <c r="A7" s="7">
        <v>3</v>
      </c>
      <c r="B7" s="7" t="s">
        <v>1426</v>
      </c>
      <c r="D7" s="7">
        <v>3</v>
      </c>
      <c r="E7" s="7" t="s">
        <v>1447</v>
      </c>
    </row>
    <row r="8" spans="1:13" x14ac:dyDescent="0.25">
      <c r="A8" s="7">
        <v>4</v>
      </c>
      <c r="B8" s="7" t="s">
        <v>1448</v>
      </c>
      <c r="D8" s="7">
        <v>4</v>
      </c>
      <c r="E8" s="7" t="s">
        <v>1449</v>
      </c>
    </row>
    <row r="9" spans="1:13" x14ac:dyDescent="0.25">
      <c r="A9" s="7">
        <v>5</v>
      </c>
      <c r="B9" s="7" t="s">
        <v>1450</v>
      </c>
      <c r="D9" s="7">
        <v>5</v>
      </c>
      <c r="E9" s="7" t="s">
        <v>1451</v>
      </c>
    </row>
    <row r="11" spans="1:13" ht="15.75" x14ac:dyDescent="0.25">
      <c r="A11" s="16" t="s">
        <v>1452</v>
      </c>
      <c r="H11" s="16" t="s">
        <v>1453</v>
      </c>
    </row>
    <row r="12" spans="1:13" ht="25.5" x14ac:dyDescent="0.25">
      <c r="A12" s="35" t="s">
        <v>1316</v>
      </c>
      <c r="B12" s="19" t="str">
        <f>B5&amp;" ("&amp;A5&amp;")"</f>
        <v>Insignificant (1)</v>
      </c>
      <c r="C12" s="19" t="str">
        <f>B6&amp;" ("&amp;A6&amp;")"</f>
        <v>Minor (2)</v>
      </c>
      <c r="D12" s="19" t="str">
        <f>B7&amp;" ("&amp;A7&amp;")"</f>
        <v>Moderate (3)</v>
      </c>
      <c r="E12" s="19" t="str">
        <f>B8&amp;" ("&amp;A8&amp;")"</f>
        <v>Significant (4)</v>
      </c>
      <c r="F12" s="19" t="str">
        <f>B9&amp;" ("&amp;A9&amp;")"</f>
        <v>Major (5)</v>
      </c>
      <c r="H12" s="35" t="s">
        <v>1316</v>
      </c>
      <c r="I12" s="19" t="str">
        <f>B5&amp;" ("&amp;A5&amp;")"</f>
        <v>Insignificant (1)</v>
      </c>
      <c r="J12" s="19" t="str">
        <f>B6&amp;" ("&amp;A6&amp;")"</f>
        <v>Minor (2)</v>
      </c>
      <c r="K12" s="19" t="str">
        <f>B7&amp;" ("&amp;A7&amp;")"</f>
        <v>Moderate (3)</v>
      </c>
      <c r="L12" s="19" t="str">
        <f>B8&amp;" ("&amp;A8&amp;")"</f>
        <v>Significant (4)</v>
      </c>
      <c r="M12" s="19" t="str">
        <f>B9&amp;" ("&amp;A9&amp;")"</f>
        <v>Major (5)</v>
      </c>
    </row>
    <row r="13" spans="1:13" ht="25.5" customHeight="1" x14ac:dyDescent="0.25">
      <c r="A13" s="19" t="str">
        <f>E9&amp;" ("&amp;D9&amp;")"</f>
        <v>Almost Certain (5)</v>
      </c>
      <c r="B13" s="36" t="s">
        <v>1426</v>
      </c>
      <c r="C13" s="36" t="s">
        <v>1426</v>
      </c>
      <c r="D13" s="36" t="s">
        <v>1425</v>
      </c>
      <c r="E13" s="36" t="s">
        <v>1424</v>
      </c>
      <c r="F13" s="36" t="s">
        <v>1424</v>
      </c>
      <c r="H13" s="19" t="str">
        <f>E9&amp;" ("&amp;D9&amp;")"</f>
        <v>Almost Certain (5)</v>
      </c>
      <c r="I13" s="37">
        <f>D9*A5</f>
        <v>5</v>
      </c>
      <c r="J13" s="37">
        <f>D9*A6</f>
        <v>10</v>
      </c>
      <c r="K13" s="37">
        <f>D9*A7</f>
        <v>15</v>
      </c>
      <c r="L13" s="37">
        <f>D9*A8</f>
        <v>20</v>
      </c>
      <c r="M13" s="37">
        <f>D9*A9</f>
        <v>25</v>
      </c>
    </row>
    <row r="14" spans="1:13" ht="25.5" customHeight="1" x14ac:dyDescent="0.25">
      <c r="A14" s="19" t="str">
        <f>E8&amp;" ("&amp;D8&amp;")"</f>
        <v>Likely (4)</v>
      </c>
      <c r="B14" s="36" t="s">
        <v>1426</v>
      </c>
      <c r="C14" s="36" t="s">
        <v>1426</v>
      </c>
      <c r="D14" s="36" t="s">
        <v>1425</v>
      </c>
      <c r="E14" s="36" t="s">
        <v>1425</v>
      </c>
      <c r="F14" s="36" t="s">
        <v>1424</v>
      </c>
      <c r="H14" s="19" t="str">
        <f>E8&amp;" ("&amp;D8&amp;")"</f>
        <v>Likely (4)</v>
      </c>
      <c r="I14" s="37">
        <f>D8*A5</f>
        <v>4</v>
      </c>
      <c r="J14" s="37">
        <f>D8*A6</f>
        <v>8</v>
      </c>
      <c r="K14" s="37">
        <f>D8*A7</f>
        <v>12</v>
      </c>
      <c r="L14" s="37">
        <f>D8*A8</f>
        <v>16</v>
      </c>
      <c r="M14" s="37">
        <f>D8*A9</f>
        <v>20</v>
      </c>
    </row>
    <row r="15" spans="1:13" ht="25.5" customHeight="1" x14ac:dyDescent="0.25">
      <c r="A15" s="19" t="str">
        <f>E7&amp;" ("&amp;D7&amp;")"</f>
        <v>Possible (3)</v>
      </c>
      <c r="B15" s="36" t="s">
        <v>1427</v>
      </c>
      <c r="C15" s="36" t="s">
        <v>1426</v>
      </c>
      <c r="D15" s="36" t="s">
        <v>1426</v>
      </c>
      <c r="E15" s="36" t="s">
        <v>1425</v>
      </c>
      <c r="F15" s="36" t="s">
        <v>1425</v>
      </c>
      <c r="H15" s="19" t="str">
        <f>E7&amp;" ("&amp;D7&amp;")"</f>
        <v>Possible (3)</v>
      </c>
      <c r="I15" s="37">
        <f>D7*A5</f>
        <v>3</v>
      </c>
      <c r="J15" s="37">
        <f>D7*A6</f>
        <v>6</v>
      </c>
      <c r="K15" s="37">
        <f>D7*A7</f>
        <v>9</v>
      </c>
      <c r="L15" s="37">
        <f>D7*A8</f>
        <v>12</v>
      </c>
      <c r="M15" s="37">
        <f>D7*A9</f>
        <v>15</v>
      </c>
    </row>
    <row r="16" spans="1:13" ht="25.5" customHeight="1" x14ac:dyDescent="0.25">
      <c r="A16" s="19" t="str">
        <f>E6&amp;" ("&amp;D6&amp;")"</f>
        <v>Unlikely (2)</v>
      </c>
      <c r="B16" s="36" t="s">
        <v>1428</v>
      </c>
      <c r="C16" s="36" t="s">
        <v>1427</v>
      </c>
      <c r="D16" s="36" t="s">
        <v>1426</v>
      </c>
      <c r="E16" s="36" t="s">
        <v>1426</v>
      </c>
      <c r="F16" s="36" t="s">
        <v>1425</v>
      </c>
      <c r="H16" s="19" t="str">
        <f>E6&amp;" ("&amp;D6&amp;")"</f>
        <v>Unlikely (2)</v>
      </c>
      <c r="I16" s="37">
        <f>D6*A5</f>
        <v>2</v>
      </c>
      <c r="J16" s="37">
        <f>D6*A6</f>
        <v>4</v>
      </c>
      <c r="K16" s="37">
        <f>D6*A7</f>
        <v>6</v>
      </c>
      <c r="L16" s="37">
        <f>D6*A8</f>
        <v>8</v>
      </c>
      <c r="M16" s="37">
        <f>D6*A9</f>
        <v>10</v>
      </c>
    </row>
    <row r="17" spans="1:13" ht="25.5" customHeight="1" x14ac:dyDescent="0.25">
      <c r="A17" s="19" t="str">
        <f>E5&amp;" ("&amp;D5&amp;")"</f>
        <v>Rare (1)</v>
      </c>
      <c r="B17" s="36" t="s">
        <v>1428</v>
      </c>
      <c r="C17" s="36" t="s">
        <v>1428</v>
      </c>
      <c r="D17" s="36" t="s">
        <v>1427</v>
      </c>
      <c r="E17" s="36" t="s">
        <v>1426</v>
      </c>
      <c r="F17" s="36" t="s">
        <v>1426</v>
      </c>
      <c r="H17" s="19" t="str">
        <f>E5&amp;" ("&amp;D5&amp;")"</f>
        <v>Rare (1)</v>
      </c>
      <c r="I17" s="37">
        <f>D5*A5</f>
        <v>1</v>
      </c>
      <c r="J17" s="37">
        <f>D5*A6</f>
        <v>2</v>
      </c>
      <c r="K17" s="37">
        <f>D5*A7</f>
        <v>3</v>
      </c>
      <c r="L17" s="37">
        <f>D5*A8</f>
        <v>4</v>
      </c>
      <c r="M17" s="37">
        <f>D5*A9</f>
        <v>5</v>
      </c>
    </row>
    <row r="19" spans="1:13" ht="15" customHeight="1" x14ac:dyDescent="0.25">
      <c r="A19" s="1" t="s">
        <v>1454</v>
      </c>
      <c r="B19" s="1"/>
      <c r="C19" s="1"/>
      <c r="D19" s="1"/>
      <c r="E19" s="1"/>
      <c r="F19" s="1"/>
      <c r="G19" s="1"/>
      <c r="H19" s="1"/>
      <c r="I19" s="1"/>
      <c r="J19" s="1"/>
      <c r="K19" s="1"/>
      <c r="L19" s="1"/>
      <c r="M19" s="1"/>
    </row>
    <row r="20" spans="1:13" x14ac:dyDescent="0.25">
      <c r="A20" s="1"/>
      <c r="B20" s="1"/>
      <c r="C20" s="1"/>
      <c r="D20" s="1"/>
      <c r="E20" s="1"/>
      <c r="F20" s="1"/>
      <c r="G20" s="1"/>
      <c r="H20" s="1"/>
      <c r="I20" s="1"/>
      <c r="J20" s="1"/>
      <c r="K20" s="1"/>
      <c r="L20" s="1"/>
      <c r="M20" s="1"/>
    </row>
    <row r="21" spans="1:13" x14ac:dyDescent="0.25">
      <c r="A21" s="1"/>
      <c r="B21" s="1"/>
      <c r="C21" s="1"/>
      <c r="D21" s="1"/>
      <c r="E21" s="1"/>
      <c r="F21" s="1"/>
      <c r="G21" s="1"/>
      <c r="H21" s="1"/>
      <c r="I21" s="1"/>
      <c r="J21" s="1"/>
      <c r="K21" s="1"/>
      <c r="L21" s="1"/>
      <c r="M21" s="1"/>
    </row>
    <row r="22" spans="1:13" x14ac:dyDescent="0.25">
      <c r="A22" s="1"/>
      <c r="B22" s="1"/>
      <c r="C22" s="1"/>
      <c r="D22" s="1"/>
      <c r="E22" s="1"/>
      <c r="F22" s="1"/>
      <c r="G22" s="1"/>
      <c r="H22" s="1"/>
      <c r="I22" s="1"/>
      <c r="J22" s="1"/>
      <c r="K22" s="1"/>
      <c r="L22" s="1"/>
      <c r="M22" s="1"/>
    </row>
    <row r="24" spans="1:13" ht="15.75" x14ac:dyDescent="0.25">
      <c r="A24" s="16" t="s">
        <v>1455</v>
      </c>
    </row>
    <row r="25" spans="1:13" x14ac:dyDescent="0.25">
      <c r="A25" s="38" t="s">
        <v>1316</v>
      </c>
      <c r="B25" s="19" t="str">
        <f>B5</f>
        <v>Insignificant</v>
      </c>
      <c r="C25" s="19" t="str">
        <f>B6</f>
        <v>Minor</v>
      </c>
      <c r="D25" s="19" t="str">
        <f>B7</f>
        <v>Moderate</v>
      </c>
      <c r="E25" s="19" t="str">
        <f>B8</f>
        <v>Significant</v>
      </c>
      <c r="F25" s="19" t="str">
        <f>B9</f>
        <v>Major</v>
      </c>
    </row>
    <row r="26" spans="1:13" ht="21.75" customHeight="1" x14ac:dyDescent="0.25">
      <c r="A26" s="19" t="str">
        <f>E9</f>
        <v>Almost Certain</v>
      </c>
      <c r="B26" s="39">
        <f>COUNTIFS('Risk Register'!$M$5:$M$297,A5,'Risk Register'!$N$5:$N$297,D9)</f>
        <v>0</v>
      </c>
      <c r="C26" s="39">
        <f>COUNTIFS('Risk Register'!$M$5:$M$297,A6,'Risk Register'!$N$5:$N$297,D9)</f>
        <v>1</v>
      </c>
      <c r="D26" s="39">
        <f>COUNTIFS('Risk Register'!$M$5:$M$297,A7,'Risk Register'!$N$5:$N$297,D9)</f>
        <v>0</v>
      </c>
      <c r="E26" s="39">
        <f>COUNTIFS('Risk Register'!$M$5:$M$297,A8,'Risk Register'!$N$5:$N$297,D9)</f>
        <v>0</v>
      </c>
      <c r="F26" s="39">
        <f>COUNTIFS('Risk Register'!$M$5:$M$297,A9,'Risk Register'!$N$5:$N$297,D9)</f>
        <v>0</v>
      </c>
    </row>
    <row r="27" spans="1:13" ht="21.75" customHeight="1" x14ac:dyDescent="0.25">
      <c r="A27" s="19" t="str">
        <f>E8</f>
        <v>Likely</v>
      </c>
      <c r="B27" s="39">
        <f>COUNTIFS('Risk Register'!$M$5:$M$297,A5,'Risk Register'!$N$5:$N$297,D8)</f>
        <v>0</v>
      </c>
      <c r="C27" s="39">
        <f>COUNTIFS('Risk Register'!$M$5:$M$297,A6,'Risk Register'!$N$5:$N$297,D8)</f>
        <v>8</v>
      </c>
      <c r="D27" s="39">
        <f>COUNTIFS('Risk Register'!$M$5:$M$297,A7,'Risk Register'!$N$5:$N$297,D8)</f>
        <v>13</v>
      </c>
      <c r="E27" s="39">
        <f>COUNTIFS('Risk Register'!$M$5:$M$297,A8,'Risk Register'!$N$5:$N$297,D8)</f>
        <v>10</v>
      </c>
      <c r="F27" s="39">
        <f>COUNTIFS('Risk Register'!$M$5:$M$297,A9,'Risk Register'!$N$5:$N$297,D8)</f>
        <v>4</v>
      </c>
    </row>
    <row r="28" spans="1:13" ht="21.75" customHeight="1" x14ac:dyDescent="0.25">
      <c r="A28" s="19" t="str">
        <f>E7</f>
        <v>Possible</v>
      </c>
      <c r="B28" s="39">
        <f>COUNTIFS('Risk Register'!$M$5:$M$297,A5,'Risk Register'!$N$5:$N$297,D7)</f>
        <v>0</v>
      </c>
      <c r="C28" s="39">
        <f>COUNTIFS('Risk Register'!$M$5:$M$297,A6,'Risk Register'!$N$5:$N$297,D7)</f>
        <v>18</v>
      </c>
      <c r="D28" s="39">
        <f>COUNTIFS('Risk Register'!$M$5:$M$297,A7,'Risk Register'!$N$5:$N$297,D7)</f>
        <v>63</v>
      </c>
      <c r="E28" s="39">
        <f>COUNTIFS('Risk Register'!$M$5:$M$297,A8,'Risk Register'!$N$5:$N$297,D7)</f>
        <v>46</v>
      </c>
      <c r="F28" s="39">
        <f>COUNTIFS('Risk Register'!$M$5:$M$297,A9,'Risk Register'!$N$5:$N$297,D7)</f>
        <v>30</v>
      </c>
    </row>
    <row r="29" spans="1:13" ht="21.75" customHeight="1" x14ac:dyDescent="0.25">
      <c r="A29" s="19" t="str">
        <f>E6</f>
        <v>Unlikely</v>
      </c>
      <c r="B29" s="39">
        <f>COUNTIFS('Risk Register'!$M$5:$M$297,A5,'Risk Register'!$N$5:$N$297,D6)</f>
        <v>0</v>
      </c>
      <c r="C29" s="39">
        <f>COUNTIFS('Risk Register'!$M$5:$M$297,A6,'Risk Register'!$N$5:$N$297,D6)</f>
        <v>10</v>
      </c>
      <c r="D29" s="39">
        <f>COUNTIFS('Risk Register'!$M$5:$M$297,A7,'Risk Register'!$N$5:$N$297,D6)</f>
        <v>10</v>
      </c>
      <c r="E29" s="39">
        <f>COUNTIFS('Risk Register'!$M$5:$M$297,A8,'Risk Register'!$N$5:$N$297,D6)</f>
        <v>25</v>
      </c>
      <c r="F29" s="39">
        <f>COUNTIFS('Risk Register'!$M$5:$M$297,A9,'Risk Register'!$N$5:$N$297,D6)</f>
        <v>21</v>
      </c>
    </row>
    <row r="30" spans="1:13" ht="21.75" customHeight="1" x14ac:dyDescent="0.25">
      <c r="A30" s="19" t="str">
        <f>E5</f>
        <v>Rare</v>
      </c>
      <c r="B30" s="39">
        <f>COUNTIFS('Risk Register'!$M$5:$M$297,A5,'Risk Register'!$N$5:$N$297,D5)</f>
        <v>22</v>
      </c>
      <c r="C30" s="39">
        <f>COUNTIFS('Risk Register'!$M$5:$M$297,A6,'Risk Register'!$N$5:$N$297,D5)</f>
        <v>4</v>
      </c>
      <c r="D30" s="39">
        <f>COUNTIFS('Risk Register'!$M$5:$M$297,A7,'Risk Register'!$N$5:$N$297,D5)</f>
        <v>2</v>
      </c>
      <c r="E30" s="39">
        <f>COUNTIFS('Risk Register'!$M$5:$M$297,A8,'Risk Register'!$N$5:$N$297,D5)</f>
        <v>3</v>
      </c>
      <c r="F30" s="39">
        <f>COUNTIFS('Risk Register'!$M$5:$M$297,A9,'Risk Register'!$N$5:$N$297,D5)</f>
        <v>3</v>
      </c>
    </row>
    <row r="33" spans="1:6" ht="15.75" x14ac:dyDescent="0.25">
      <c r="A33" s="16" t="s">
        <v>1456</v>
      </c>
    </row>
    <row r="34" spans="1:6" x14ac:dyDescent="0.25">
      <c r="A34" s="38" t="s">
        <v>1316</v>
      </c>
      <c r="B34" s="19" t="str">
        <f>B5</f>
        <v>Insignificant</v>
      </c>
      <c r="C34" s="19" t="str">
        <f>B6</f>
        <v>Minor</v>
      </c>
      <c r="D34" s="19" t="str">
        <f>B7</f>
        <v>Moderate</v>
      </c>
      <c r="E34" s="19" t="str">
        <f>B8</f>
        <v>Significant</v>
      </c>
      <c r="F34" s="19" t="str">
        <f>B9</f>
        <v>Major</v>
      </c>
    </row>
    <row r="35" spans="1:6" ht="21.75" customHeight="1" x14ac:dyDescent="0.25">
      <c r="A35" s="19" t="str">
        <f>E9</f>
        <v>Almost Certain</v>
      </c>
      <c r="B35" s="39">
        <f>COUNTIFS('Risk Register'!$R$5:$R$297,A5,'Risk Register'!$S$5:$S$297,D9)</f>
        <v>0</v>
      </c>
      <c r="C35" s="39">
        <f>COUNTIFS('Risk Register'!$R$5:$R$297,A6,'Risk Register'!$S$5:$S$297,D9)</f>
        <v>1</v>
      </c>
      <c r="D35" s="39">
        <f>COUNTIFS('Risk Register'!$R$5:$R$297,A7,'Risk Register'!$S$5:$S$297,D9)</f>
        <v>0</v>
      </c>
      <c r="E35" s="39">
        <f>COUNTIFS('Risk Register'!$R$5:$R$297,A8,'Risk Register'!$S$5:$S$297,D9)</f>
        <v>0</v>
      </c>
      <c r="F35" s="39">
        <f>COUNTIFS('Risk Register'!$R$5:$R$297,A9,'Risk Register'!$S$5:$S$297,D9)</f>
        <v>0</v>
      </c>
    </row>
    <row r="36" spans="1:6" ht="21.75" customHeight="1" x14ac:dyDescent="0.25">
      <c r="A36" s="19" t="str">
        <f>E8</f>
        <v>Likely</v>
      </c>
      <c r="B36" s="39">
        <f>COUNTIFS('Risk Register'!$R$5:$R$297,A5,'Risk Register'!$S$5:$S$297,D8)</f>
        <v>2</v>
      </c>
      <c r="C36" s="39">
        <f>COUNTIFS('Risk Register'!$R$5:$R$297,A6,'Risk Register'!$S$5:$S$297,D8)</f>
        <v>5</v>
      </c>
      <c r="D36" s="39">
        <f>COUNTIFS('Risk Register'!$R$5:$R$297,A7,'Risk Register'!$S$5:$S$297,D8)</f>
        <v>0</v>
      </c>
      <c r="E36" s="39">
        <f>COUNTIFS('Risk Register'!$R$5:$R$297,A8,'Risk Register'!$S$5:$S$297,D8)</f>
        <v>0</v>
      </c>
      <c r="F36" s="39">
        <f>COUNTIFS('Risk Register'!$R$5:$R$297,A9,'Risk Register'!$S$5:$S$297,D8)</f>
        <v>0</v>
      </c>
    </row>
    <row r="37" spans="1:6" ht="21.75" customHeight="1" x14ac:dyDescent="0.25">
      <c r="A37" s="19" t="str">
        <f>E7</f>
        <v>Possible</v>
      </c>
      <c r="B37" s="39">
        <f>COUNTIFS('Risk Register'!$R$5:$R$297,A5,'Risk Register'!$S$5:$S$297,D7)</f>
        <v>1</v>
      </c>
      <c r="C37" s="39">
        <f>COUNTIFS('Risk Register'!$R$5:$R$297,A6,'Risk Register'!$S$5:$S$297,D7)</f>
        <v>26</v>
      </c>
      <c r="D37" s="39">
        <f>COUNTIFS('Risk Register'!$R$5:$R$297,A7,'Risk Register'!$S$5:$S$297,D7)</f>
        <v>31</v>
      </c>
      <c r="E37" s="39">
        <f>COUNTIFS('Risk Register'!$R$5:$R$297,A8,'Risk Register'!$S$5:$S$297,D7)</f>
        <v>5</v>
      </c>
      <c r="F37" s="39">
        <f>COUNTIFS('Risk Register'!$R$5:$R$297,A9,'Risk Register'!$S$5:$S$297,D7)</f>
        <v>0</v>
      </c>
    </row>
    <row r="38" spans="1:6" ht="21.75" customHeight="1" x14ac:dyDescent="0.25">
      <c r="A38" s="19" t="str">
        <f>E6</f>
        <v>Unlikely</v>
      </c>
      <c r="B38" s="39">
        <f>COUNTIFS('Risk Register'!$R$5:$R$297,A5,'Risk Register'!$S$5:$S$297,D6)</f>
        <v>2</v>
      </c>
      <c r="C38" s="39">
        <f>COUNTIFS('Risk Register'!$R$5:$R$297,A6,'Risk Register'!$S$5:$S$297,D6)</f>
        <v>51</v>
      </c>
      <c r="D38" s="39">
        <f>COUNTIFS('Risk Register'!$R$5:$R$297,A7,'Risk Register'!$S$5:$S$297,D6)</f>
        <v>40</v>
      </c>
      <c r="E38" s="39">
        <f>COUNTIFS('Risk Register'!$R$5:$R$297,A8,'Risk Register'!$S$5:$S$297,D6)</f>
        <v>31</v>
      </c>
      <c r="F38" s="39">
        <f>COUNTIFS('Risk Register'!$R$5:$R$297,A9,'Risk Register'!$S$5:$S$297,D6)</f>
        <v>10</v>
      </c>
    </row>
    <row r="39" spans="1:6" ht="21.75" customHeight="1" x14ac:dyDescent="0.25">
      <c r="A39" s="19" t="str">
        <f>E5</f>
        <v>Rare</v>
      </c>
      <c r="B39" s="39">
        <f>COUNTIFS('Risk Register'!$R$5:$R$297,A5,'Risk Register'!$S$5:$S$297,D5)</f>
        <v>33</v>
      </c>
      <c r="C39" s="39">
        <f>COUNTIFS('Risk Register'!$R$5:$R$297,A6,'Risk Register'!$S$5:$S$297,D5)</f>
        <v>17</v>
      </c>
      <c r="D39" s="39">
        <f>COUNTIFS('Risk Register'!$R$5:$R$297,A7,'Risk Register'!$S$5:$S$297,D5)</f>
        <v>11</v>
      </c>
      <c r="E39" s="39">
        <f>COUNTIFS('Risk Register'!$R$5:$R$297,A8,'Risk Register'!$S$5:$S$297,D5)</f>
        <v>13</v>
      </c>
      <c r="F39" s="39">
        <f>COUNTIFS('Risk Register'!$R$5:$R$297,A9,'Risk Register'!$S$5:$S$297,D5)</f>
        <v>14</v>
      </c>
    </row>
  </sheetData>
  <mergeCells count="1">
    <mergeCell ref="A19:M22"/>
  </mergeCells>
  <conditionalFormatting sqref="B26">
    <cfRule type="expression" dxfId="254" priority="7">
      <formula>$B$13="Critical"</formula>
    </cfRule>
    <cfRule type="expression" dxfId="253" priority="8">
      <formula>$B$13="High"</formula>
    </cfRule>
    <cfRule type="expression" dxfId="252" priority="9">
      <formula>$B$13="Moderate"</formula>
    </cfRule>
    <cfRule type="expression" dxfId="251" priority="10">
      <formula>$B$13="Low"</formula>
    </cfRule>
    <cfRule type="expression" dxfId="250" priority="11">
      <formula>$B$13="Very Low"</formula>
    </cfRule>
  </conditionalFormatting>
  <conditionalFormatting sqref="B27">
    <cfRule type="expression" dxfId="249" priority="33">
      <formula>$B$14="High"</formula>
    </cfRule>
    <cfRule type="expression" dxfId="248" priority="32">
      <formula>$B$14="Critical"</formula>
    </cfRule>
    <cfRule type="expression" dxfId="247" priority="34">
      <formula>$B$14="Moderate"</formula>
    </cfRule>
    <cfRule type="expression" dxfId="246" priority="35">
      <formula>$B$14="Low"</formula>
    </cfRule>
    <cfRule type="expression" dxfId="245" priority="36">
      <formula>$B$14="Very Low"</formula>
    </cfRule>
  </conditionalFormatting>
  <conditionalFormatting sqref="B28">
    <cfRule type="expression" dxfId="244" priority="58">
      <formula>$B$15="High"</formula>
    </cfRule>
    <cfRule type="expression" dxfId="243" priority="61">
      <formula>$B$15="Very Low"</formula>
    </cfRule>
    <cfRule type="expression" dxfId="242" priority="60">
      <formula>$B$15="Low"</formula>
    </cfRule>
    <cfRule type="expression" dxfId="241" priority="59">
      <formula>$B$15="Moderate"</formula>
    </cfRule>
    <cfRule type="expression" dxfId="240" priority="57">
      <formula>$B$15="Critical"</formula>
    </cfRule>
  </conditionalFormatting>
  <conditionalFormatting sqref="B29">
    <cfRule type="expression" dxfId="239" priority="83">
      <formula>$B$16="High"</formula>
    </cfRule>
    <cfRule type="expression" dxfId="238" priority="82">
      <formula>$B$16="Critical"</formula>
    </cfRule>
    <cfRule type="expression" dxfId="237" priority="85">
      <formula>$B$16="Low"</formula>
    </cfRule>
    <cfRule type="expression" dxfId="236" priority="86">
      <formula>$B$16="Very Low"</formula>
    </cfRule>
    <cfRule type="expression" dxfId="235" priority="84">
      <formula>$B$16="Moderate"</formula>
    </cfRule>
  </conditionalFormatting>
  <conditionalFormatting sqref="B30">
    <cfRule type="expression" dxfId="234" priority="111">
      <formula>$B$17="Very Low"</formula>
    </cfRule>
    <cfRule type="expression" dxfId="233" priority="110">
      <formula>$B$17="Low"</formula>
    </cfRule>
    <cfRule type="expression" dxfId="232" priority="109">
      <formula>$B$17="Moderate"</formula>
    </cfRule>
    <cfRule type="expression" dxfId="231" priority="107">
      <formula>$B$17="Critical"</formula>
    </cfRule>
    <cfRule type="expression" dxfId="230" priority="108">
      <formula>$B$17="High"</formula>
    </cfRule>
  </conditionalFormatting>
  <conditionalFormatting sqref="B35">
    <cfRule type="expression" dxfId="229" priority="133">
      <formula>$B$13="High"</formula>
    </cfRule>
    <cfRule type="expression" dxfId="228" priority="132">
      <formula>$B$13="Critical"</formula>
    </cfRule>
    <cfRule type="expression" dxfId="227" priority="136">
      <formula>$B$13="Very Low"</formula>
    </cfRule>
    <cfRule type="expression" dxfId="226" priority="134">
      <formula>$B$13="Moderate"</formula>
    </cfRule>
    <cfRule type="expression" dxfId="225" priority="135">
      <formula>$B$13="Low"</formula>
    </cfRule>
  </conditionalFormatting>
  <conditionalFormatting sqref="B36">
    <cfRule type="expression" dxfId="224" priority="161">
      <formula>$B$14="Very Low"</formula>
    </cfRule>
    <cfRule type="expression" dxfId="223" priority="159">
      <formula>$B$14="Moderate"</formula>
    </cfRule>
    <cfRule type="expression" dxfId="222" priority="157">
      <formula>$B$14="Critical"</formula>
    </cfRule>
    <cfRule type="expression" dxfId="221" priority="158">
      <formula>$B$14="High"</formula>
    </cfRule>
    <cfRule type="expression" dxfId="220" priority="160">
      <formula>$B$14="Low"</formula>
    </cfRule>
  </conditionalFormatting>
  <conditionalFormatting sqref="B37">
    <cfRule type="expression" dxfId="219" priority="184">
      <formula>$B$15="Moderate"</formula>
    </cfRule>
    <cfRule type="expression" dxfId="218" priority="183">
      <formula>$B$15="High"</formula>
    </cfRule>
    <cfRule type="expression" dxfId="217" priority="182">
      <formula>$B$15="Critical"</formula>
    </cfRule>
    <cfRule type="expression" dxfId="216" priority="186">
      <formula>$B$15="Very Low"</formula>
    </cfRule>
    <cfRule type="expression" dxfId="215" priority="185">
      <formula>$B$15="Low"</formula>
    </cfRule>
  </conditionalFormatting>
  <conditionalFormatting sqref="B38">
    <cfRule type="expression" dxfId="214" priority="208">
      <formula>$B$16="High"</formula>
    </cfRule>
    <cfRule type="expression" dxfId="213" priority="209">
      <formula>$B$16="Moderate"</formula>
    </cfRule>
    <cfRule type="expression" dxfId="212" priority="207">
      <formula>$B$16="Critical"</formula>
    </cfRule>
    <cfRule type="expression" dxfId="211" priority="211">
      <formula>$B$16="Very Low"</formula>
    </cfRule>
    <cfRule type="expression" dxfId="210" priority="210">
      <formula>$B$16="Low"</formula>
    </cfRule>
  </conditionalFormatting>
  <conditionalFormatting sqref="B39">
    <cfRule type="expression" dxfId="209" priority="234">
      <formula>$B$17="Moderate"</formula>
    </cfRule>
    <cfRule type="expression" dxfId="208" priority="233">
      <formula>$B$17="High"</formula>
    </cfRule>
    <cfRule type="expression" dxfId="207" priority="232">
      <formula>$B$17="Critical"</formula>
    </cfRule>
    <cfRule type="expression" dxfId="206" priority="236">
      <formula>$B$17="Very Low"</formula>
    </cfRule>
    <cfRule type="expression" dxfId="205" priority="235">
      <formula>$B$17="Low"</formula>
    </cfRule>
  </conditionalFormatting>
  <conditionalFormatting sqref="C26">
    <cfRule type="expression" dxfId="204" priority="12">
      <formula>$C$13="Critical"</formula>
    </cfRule>
    <cfRule type="expression" dxfId="203" priority="14">
      <formula>$C$13="Moderate"</formula>
    </cfRule>
    <cfRule type="expression" dxfId="202" priority="15">
      <formula>$C$13="Low"</formula>
    </cfRule>
    <cfRule type="expression" dxfId="201" priority="16">
      <formula>$C$13="Very Low"</formula>
    </cfRule>
    <cfRule type="expression" dxfId="200" priority="13">
      <formula>$C$13="High"</formula>
    </cfRule>
  </conditionalFormatting>
  <conditionalFormatting sqref="C27">
    <cfRule type="expression" dxfId="199" priority="40">
      <formula>$C$14="Low"</formula>
    </cfRule>
    <cfRule type="expression" dxfId="198" priority="39">
      <formula>$C$14="Moderate"</formula>
    </cfRule>
    <cfRule type="expression" dxfId="197" priority="38">
      <formula>$C$14="High"</formula>
    </cfRule>
    <cfRule type="expression" dxfId="196" priority="37">
      <formula>$C$14="Critical"</formula>
    </cfRule>
    <cfRule type="expression" dxfId="195" priority="41">
      <formula>$C$14="Very Low"</formula>
    </cfRule>
  </conditionalFormatting>
  <conditionalFormatting sqref="C28">
    <cfRule type="expression" dxfId="194" priority="63">
      <formula>$C$15="High"</formula>
    </cfRule>
    <cfRule type="expression" dxfId="193" priority="65">
      <formula>$C$15="Low"</formula>
    </cfRule>
    <cfRule type="expression" dxfId="192" priority="66">
      <formula>$C$15="Very Low"</formula>
    </cfRule>
    <cfRule type="expression" dxfId="191" priority="64">
      <formula>$C$15="Moderate"</formula>
    </cfRule>
    <cfRule type="expression" dxfId="190" priority="62">
      <formula>$C$15="Critical"</formula>
    </cfRule>
  </conditionalFormatting>
  <conditionalFormatting sqref="C29">
    <cfRule type="expression" dxfId="189" priority="90">
      <formula>$C$16="Low"</formula>
    </cfRule>
    <cfRule type="expression" dxfId="188" priority="87">
      <formula>$C$16="Critical"</formula>
    </cfRule>
    <cfRule type="expression" dxfId="187" priority="88">
      <formula>$C$16="High"</formula>
    </cfRule>
    <cfRule type="expression" dxfId="186" priority="91">
      <formula>$C$16="Very Low"</formula>
    </cfRule>
    <cfRule type="expression" dxfId="185" priority="89">
      <formula>$C$16="Moderate"</formula>
    </cfRule>
  </conditionalFormatting>
  <conditionalFormatting sqref="C30">
    <cfRule type="expression" dxfId="184" priority="112">
      <formula>$C$17="Critical"</formula>
    </cfRule>
    <cfRule type="expression" dxfId="183" priority="113">
      <formula>$C$17="High"</formula>
    </cfRule>
    <cfRule type="expression" dxfId="182" priority="115">
      <formula>$C$17="Low"</formula>
    </cfRule>
    <cfRule type="expression" dxfId="181" priority="116">
      <formula>$C$17="Very Low"</formula>
    </cfRule>
    <cfRule type="expression" dxfId="180" priority="114">
      <formula>$C$17="Moderate"</formula>
    </cfRule>
  </conditionalFormatting>
  <conditionalFormatting sqref="C35">
    <cfRule type="expression" dxfId="179" priority="139">
      <formula>$C$13="Moderate"</formula>
    </cfRule>
    <cfRule type="expression" dxfId="178" priority="138">
      <formula>$C$13="High"</formula>
    </cfRule>
    <cfRule type="expression" dxfId="177" priority="137">
      <formula>$C$13="Critical"</formula>
    </cfRule>
    <cfRule type="expression" dxfId="176" priority="141">
      <formula>$C$13="Very Low"</formula>
    </cfRule>
    <cfRule type="expression" dxfId="175" priority="140">
      <formula>$C$13="Low"</formula>
    </cfRule>
  </conditionalFormatting>
  <conditionalFormatting sqref="C36">
    <cfRule type="expression" dxfId="174" priority="162">
      <formula>$C$14="Critical"</formula>
    </cfRule>
    <cfRule type="expression" dxfId="173" priority="163">
      <formula>$C$14="High"</formula>
    </cfRule>
    <cfRule type="expression" dxfId="172" priority="164">
      <formula>$C$14="Moderate"</formula>
    </cfRule>
    <cfRule type="expression" dxfId="171" priority="165">
      <formula>$C$14="Low"</formula>
    </cfRule>
    <cfRule type="expression" dxfId="170" priority="166">
      <formula>$C$14="Very Low"</formula>
    </cfRule>
  </conditionalFormatting>
  <conditionalFormatting sqref="C37">
    <cfRule type="expression" dxfId="169" priority="187">
      <formula>$C$15="Critical"</formula>
    </cfRule>
    <cfRule type="expression" dxfId="168" priority="188">
      <formula>$C$15="High"</formula>
    </cfRule>
    <cfRule type="expression" dxfId="167" priority="189">
      <formula>$C$15="Moderate"</formula>
    </cfRule>
    <cfRule type="expression" dxfId="166" priority="190">
      <formula>$C$15="Low"</formula>
    </cfRule>
    <cfRule type="expression" dxfId="165" priority="191">
      <formula>$C$15="Very Low"</formula>
    </cfRule>
  </conditionalFormatting>
  <conditionalFormatting sqref="C38">
    <cfRule type="expression" dxfId="164" priority="216">
      <formula>$C$16="Very Low"</formula>
    </cfRule>
    <cfRule type="expression" dxfId="163" priority="212">
      <formula>$C$16="Critical"</formula>
    </cfRule>
    <cfRule type="expression" dxfId="162" priority="213">
      <formula>$C$16="High"</formula>
    </cfRule>
    <cfRule type="expression" dxfId="161" priority="214">
      <formula>$C$16="Moderate"</formula>
    </cfRule>
    <cfRule type="expression" dxfId="160" priority="215">
      <formula>$C$16="Low"</formula>
    </cfRule>
  </conditionalFormatting>
  <conditionalFormatting sqref="C39">
    <cfRule type="expression" dxfId="159" priority="241">
      <formula>$C$17="Very Low"</formula>
    </cfRule>
    <cfRule type="expression" dxfId="158" priority="238">
      <formula>$C$17="High"</formula>
    </cfRule>
    <cfRule type="expression" dxfId="157" priority="237">
      <formula>$C$17="Critical"</formula>
    </cfRule>
    <cfRule type="expression" dxfId="156" priority="239">
      <formula>$C$17="Moderate"</formula>
    </cfRule>
    <cfRule type="expression" dxfId="155" priority="240">
      <formula>$C$17="Low"</formula>
    </cfRule>
  </conditionalFormatting>
  <conditionalFormatting sqref="D26">
    <cfRule type="expression" dxfId="154" priority="18">
      <formula>$D$13="High"</formula>
    </cfRule>
    <cfRule type="expression" dxfId="153" priority="20">
      <formula>$D$13="Low"</formula>
    </cfRule>
    <cfRule type="expression" dxfId="152" priority="21">
      <formula>$D$13="Very Low"</formula>
    </cfRule>
    <cfRule type="expression" dxfId="151" priority="17">
      <formula>$D$13="Critical"</formula>
    </cfRule>
    <cfRule type="expression" dxfId="150" priority="19">
      <formula>$D$13="Moderate"</formula>
    </cfRule>
  </conditionalFormatting>
  <conditionalFormatting sqref="D27">
    <cfRule type="expression" dxfId="149" priority="43">
      <formula>$D$14="High"</formula>
    </cfRule>
    <cfRule type="expression" dxfId="148" priority="42">
      <formula>$D$14="Critical"</formula>
    </cfRule>
    <cfRule type="expression" dxfId="147" priority="46">
      <formula>$D$14="Very Low"</formula>
    </cfRule>
    <cfRule type="expression" dxfId="146" priority="45">
      <formula>$D$14="Low"</formula>
    </cfRule>
    <cfRule type="expression" dxfId="145" priority="44">
      <formula>$D$14="Moderate"</formula>
    </cfRule>
  </conditionalFormatting>
  <conditionalFormatting sqref="D28">
    <cfRule type="expression" dxfId="144" priority="71">
      <formula>$D$15="Very Low"</formula>
    </cfRule>
    <cfRule type="expression" dxfId="143" priority="70">
      <formula>$D$15="Low"</formula>
    </cfRule>
    <cfRule type="expression" dxfId="142" priority="69">
      <formula>$D$15="Moderate"</formula>
    </cfRule>
    <cfRule type="expression" dxfId="141" priority="68">
      <formula>$D$15="High"</formula>
    </cfRule>
    <cfRule type="expression" dxfId="140" priority="67">
      <formula>$D$15="Critical"</formula>
    </cfRule>
  </conditionalFormatting>
  <conditionalFormatting sqref="D29">
    <cfRule type="expression" dxfId="139" priority="92">
      <formula>$D$16="Critical"</formula>
    </cfRule>
    <cfRule type="expression" dxfId="138" priority="93">
      <formula>$D$16="High"</formula>
    </cfRule>
    <cfRule type="expression" dxfId="137" priority="94">
      <formula>$D$16="Moderate"</formula>
    </cfRule>
    <cfRule type="expression" dxfId="136" priority="96">
      <formula>$D$16="Very Low"</formula>
    </cfRule>
    <cfRule type="expression" dxfId="135" priority="95">
      <formula>$D$16="Low"</formula>
    </cfRule>
  </conditionalFormatting>
  <conditionalFormatting sqref="D30">
    <cfRule type="expression" dxfId="134" priority="120">
      <formula>$D$17="Low"</formula>
    </cfRule>
    <cfRule type="expression" dxfId="133" priority="117">
      <formula>$D$17="Critical"</formula>
    </cfRule>
    <cfRule type="expression" dxfId="132" priority="118">
      <formula>$D$17="High"</formula>
    </cfRule>
    <cfRule type="expression" dxfId="131" priority="119">
      <formula>$D$17="Moderate"</formula>
    </cfRule>
    <cfRule type="expression" dxfId="130" priority="121">
      <formula>$D$17="Very Low"</formula>
    </cfRule>
  </conditionalFormatting>
  <conditionalFormatting sqref="D35">
    <cfRule type="expression" dxfId="129" priority="144">
      <formula>$D$13="Moderate"</formula>
    </cfRule>
    <cfRule type="expression" dxfId="128" priority="143">
      <formula>$D$13="High"</formula>
    </cfRule>
    <cfRule type="expression" dxfId="127" priority="142">
      <formula>$D$13="Critical"</formula>
    </cfRule>
    <cfRule type="expression" dxfId="126" priority="146">
      <formula>$D$13="Very Low"</formula>
    </cfRule>
    <cfRule type="expression" dxfId="125" priority="145">
      <formula>$D$13="Low"</formula>
    </cfRule>
  </conditionalFormatting>
  <conditionalFormatting sqref="D36">
    <cfRule type="expression" dxfId="124" priority="169">
      <formula>$D$14="Moderate"</formula>
    </cfRule>
    <cfRule type="expression" dxfId="123" priority="170">
      <formula>$D$14="Low"</formula>
    </cfRule>
    <cfRule type="expression" dxfId="122" priority="171">
      <formula>$D$14="Very Low"</formula>
    </cfRule>
    <cfRule type="expression" dxfId="121" priority="168">
      <formula>$D$14="High"</formula>
    </cfRule>
    <cfRule type="expression" dxfId="120" priority="167">
      <formula>$D$14="Critical"</formula>
    </cfRule>
  </conditionalFormatting>
  <conditionalFormatting sqref="D37">
    <cfRule type="expression" dxfId="119" priority="196">
      <formula>$D$15="Very Low"</formula>
    </cfRule>
    <cfRule type="expression" dxfId="118" priority="195">
      <formula>$D$15="Low"</formula>
    </cfRule>
    <cfRule type="expression" dxfId="117" priority="194">
      <formula>$D$15="Moderate"</formula>
    </cfRule>
    <cfRule type="expression" dxfId="116" priority="193">
      <formula>$D$15="High"</formula>
    </cfRule>
    <cfRule type="expression" dxfId="115" priority="192">
      <formula>$D$15="Critical"</formula>
    </cfRule>
  </conditionalFormatting>
  <conditionalFormatting sqref="D38">
    <cfRule type="expression" dxfId="114" priority="221">
      <formula>$D$16="Very Low"</formula>
    </cfRule>
    <cfRule type="expression" dxfId="113" priority="217">
      <formula>$D$16="Critical"</formula>
    </cfRule>
    <cfRule type="expression" dxfId="112" priority="218">
      <formula>$D$16="High"</formula>
    </cfRule>
    <cfRule type="expression" dxfId="111" priority="219">
      <formula>$D$16="Moderate"</formula>
    </cfRule>
    <cfRule type="expression" dxfId="110" priority="220">
      <formula>$D$16="Low"</formula>
    </cfRule>
  </conditionalFormatting>
  <conditionalFormatting sqref="D39">
    <cfRule type="expression" dxfId="109" priority="242">
      <formula>$D$17="Critical"</formula>
    </cfRule>
    <cfRule type="expression" dxfId="108" priority="243">
      <formula>$D$17="High"</formula>
    </cfRule>
    <cfRule type="expression" dxfId="107" priority="244">
      <formula>$D$17="Moderate"</formula>
    </cfRule>
    <cfRule type="expression" dxfId="106" priority="245">
      <formula>$D$17="Low"</formula>
    </cfRule>
    <cfRule type="expression" dxfId="105" priority="246">
      <formula>$D$17="Very Low"</formula>
    </cfRule>
  </conditionalFormatting>
  <conditionalFormatting sqref="E26">
    <cfRule type="expression" dxfId="104" priority="23">
      <formula>$E$13="High"</formula>
    </cfRule>
    <cfRule type="expression" dxfId="103" priority="24">
      <formula>$E$13="Moderate"</formula>
    </cfRule>
    <cfRule type="expression" dxfId="102" priority="25">
      <formula>$E$13="Low"</formula>
    </cfRule>
    <cfRule type="expression" dxfId="101" priority="22">
      <formula>$E$13="Critical"</formula>
    </cfRule>
    <cfRule type="expression" dxfId="100" priority="26">
      <formula>$E$13="Very Low"</formula>
    </cfRule>
  </conditionalFormatting>
  <conditionalFormatting sqref="E27">
    <cfRule type="expression" dxfId="99" priority="47">
      <formula>$E$14="Critical"</formula>
    </cfRule>
    <cfRule type="expression" dxfId="98" priority="48">
      <formula>$E$14="High"</formula>
    </cfRule>
    <cfRule type="expression" dxfId="97" priority="49">
      <formula>$E$14="Moderate"</formula>
    </cfRule>
    <cfRule type="expression" dxfId="96" priority="51">
      <formula>$E$14="Very Low"</formula>
    </cfRule>
    <cfRule type="expression" dxfId="95" priority="50">
      <formula>$E$14="Low"</formula>
    </cfRule>
  </conditionalFormatting>
  <conditionalFormatting sqref="E28">
    <cfRule type="expression" dxfId="94" priority="72">
      <formula>$E$15="Critical"</formula>
    </cfRule>
    <cfRule type="expression" dxfId="93" priority="76">
      <formula>$E$15="Very Low"</formula>
    </cfRule>
    <cfRule type="expression" dxfId="92" priority="75">
      <formula>$E$15="Low"</formula>
    </cfRule>
    <cfRule type="expression" dxfId="91" priority="74">
      <formula>$E$15="Moderate"</formula>
    </cfRule>
    <cfRule type="expression" dxfId="90" priority="73">
      <formula>$E$15="High"</formula>
    </cfRule>
  </conditionalFormatting>
  <conditionalFormatting sqref="E29">
    <cfRule type="expression" dxfId="89" priority="100">
      <formula>$E$16="Low"</formula>
    </cfRule>
    <cfRule type="expression" dxfId="88" priority="101">
      <formula>$E$16="Very Low"</formula>
    </cfRule>
    <cfRule type="expression" dxfId="87" priority="98">
      <formula>$E$16="High"</formula>
    </cfRule>
    <cfRule type="expression" dxfId="86" priority="97">
      <formula>$E$16="Critical"</formula>
    </cfRule>
    <cfRule type="expression" dxfId="85" priority="99">
      <formula>$E$16="Moderate"</formula>
    </cfRule>
  </conditionalFormatting>
  <conditionalFormatting sqref="E30">
    <cfRule type="expression" dxfId="84" priority="123">
      <formula>$E$17="High"</formula>
    </cfRule>
    <cfRule type="expression" dxfId="83" priority="122">
      <formula>$E$17="Critical"</formula>
    </cfRule>
    <cfRule type="expression" dxfId="82" priority="126">
      <formula>$E$17="Very Low"</formula>
    </cfRule>
    <cfRule type="expression" dxfId="81" priority="125">
      <formula>$E$17="Low"</formula>
    </cfRule>
    <cfRule type="expression" dxfId="80" priority="124">
      <formula>$E$17="Moderate"</formula>
    </cfRule>
  </conditionalFormatting>
  <conditionalFormatting sqref="E35">
    <cfRule type="expression" dxfId="79" priority="147">
      <formula>$E$13="Critical"</formula>
    </cfRule>
    <cfRule type="expression" dxfId="78" priority="149">
      <formula>$E$13="Moderate"</formula>
    </cfRule>
    <cfRule type="expression" dxfId="77" priority="148">
      <formula>$E$13="High"</formula>
    </cfRule>
    <cfRule type="expression" dxfId="76" priority="151">
      <formula>$E$13="Very Low"</formula>
    </cfRule>
    <cfRule type="expression" dxfId="75" priority="150">
      <formula>$E$13="Low"</formula>
    </cfRule>
  </conditionalFormatting>
  <conditionalFormatting sqref="E36">
    <cfRule type="expression" dxfId="74" priority="173">
      <formula>$E$14="High"</formula>
    </cfRule>
    <cfRule type="expression" dxfId="73" priority="174">
      <formula>$E$14="Moderate"</formula>
    </cfRule>
    <cfRule type="expression" dxfId="72" priority="175">
      <formula>$E$14="Low"</formula>
    </cfRule>
    <cfRule type="expression" dxfId="71" priority="176">
      <formula>$E$14="Very Low"</formula>
    </cfRule>
    <cfRule type="expression" dxfId="70" priority="172">
      <formula>$E$14="Critical"</formula>
    </cfRule>
  </conditionalFormatting>
  <conditionalFormatting sqref="E37">
    <cfRule type="expression" dxfId="69" priority="197">
      <formula>$E$15="Critical"</formula>
    </cfRule>
    <cfRule type="expression" dxfId="68" priority="198">
      <formula>$E$15="High"</formula>
    </cfRule>
    <cfRule type="expression" dxfId="67" priority="199">
      <formula>$E$15="Moderate"</formula>
    </cfRule>
    <cfRule type="expression" dxfId="66" priority="200">
      <formula>$E$15="Low"</formula>
    </cfRule>
    <cfRule type="expression" dxfId="65" priority="201">
      <formula>$E$15="Very Low"</formula>
    </cfRule>
  </conditionalFormatting>
  <conditionalFormatting sqref="E38">
    <cfRule type="expression" dxfId="64" priority="225">
      <formula>$E$16="Low"</formula>
    </cfRule>
    <cfRule type="expression" dxfId="63" priority="226">
      <formula>$E$16="Very Low"</formula>
    </cfRule>
    <cfRule type="expression" dxfId="62" priority="224">
      <formula>$E$16="Moderate"</formula>
    </cfRule>
    <cfRule type="expression" dxfId="61" priority="222">
      <formula>$E$16="Critical"</formula>
    </cfRule>
    <cfRule type="expression" dxfId="60" priority="223">
      <formula>$E$16="High"</formula>
    </cfRule>
  </conditionalFormatting>
  <conditionalFormatting sqref="E39">
    <cfRule type="expression" dxfId="59" priority="251">
      <formula>$E$17="Very Low"</formula>
    </cfRule>
    <cfRule type="expression" dxfId="58" priority="250">
      <formula>$E$17="Low"</formula>
    </cfRule>
    <cfRule type="expression" dxfId="57" priority="248">
      <formula>$E$17="High"</formula>
    </cfRule>
    <cfRule type="expression" dxfId="56" priority="247">
      <formula>$E$17="Critical"</formula>
    </cfRule>
    <cfRule type="expression" dxfId="55" priority="249">
      <formula>$E$17="Moderate"</formula>
    </cfRule>
  </conditionalFormatting>
  <conditionalFormatting sqref="F26">
    <cfRule type="expression" dxfId="54" priority="30">
      <formula>$F$13="Low"</formula>
    </cfRule>
    <cfRule type="expression" dxfId="53" priority="27">
      <formula>$F$13="Critical"</formula>
    </cfRule>
    <cfRule type="expression" dxfId="52" priority="28">
      <formula>$F$13="High"</formula>
    </cfRule>
    <cfRule type="expression" dxfId="51" priority="29">
      <formula>$F$13="Moderate"</formula>
    </cfRule>
    <cfRule type="expression" dxfId="50" priority="31">
      <formula>$F$13="Very Low"</formula>
    </cfRule>
  </conditionalFormatting>
  <conditionalFormatting sqref="F27">
    <cfRule type="expression" dxfId="49" priority="56">
      <formula>$F$14="Very Low"</formula>
    </cfRule>
    <cfRule type="expression" dxfId="48" priority="52">
      <formula>$F$14="Critical"</formula>
    </cfRule>
    <cfRule type="expression" dxfId="47" priority="53">
      <formula>$F$14="High"</formula>
    </cfRule>
    <cfRule type="expression" dxfId="46" priority="54">
      <formula>$F$14="Moderate"</formula>
    </cfRule>
    <cfRule type="expression" dxfId="45" priority="55">
      <formula>$F$14="Low"</formula>
    </cfRule>
  </conditionalFormatting>
  <conditionalFormatting sqref="F28">
    <cfRule type="expression" dxfId="44" priority="79">
      <formula>$F$15="Moderate"</formula>
    </cfRule>
    <cfRule type="expression" dxfId="43" priority="80">
      <formula>$F$15="Low"</formula>
    </cfRule>
    <cfRule type="expression" dxfId="42" priority="77">
      <formula>$F$15="Critical"</formula>
    </cfRule>
    <cfRule type="expression" dxfId="41" priority="78">
      <formula>$F$15="High"</formula>
    </cfRule>
    <cfRule type="expression" dxfId="40" priority="81">
      <formula>$F$15="Very Low"</formula>
    </cfRule>
  </conditionalFormatting>
  <conditionalFormatting sqref="F29">
    <cfRule type="expression" dxfId="39" priority="104">
      <formula>$F$16="Moderate"</formula>
    </cfRule>
    <cfRule type="expression" dxfId="38" priority="106">
      <formula>$F$16="Very Low"</formula>
    </cfRule>
    <cfRule type="expression" dxfId="37" priority="105">
      <formula>$F$16="Low"</formula>
    </cfRule>
    <cfRule type="expression" dxfId="36" priority="103">
      <formula>$F$16="High"</formula>
    </cfRule>
    <cfRule type="expression" dxfId="35" priority="102">
      <formula>$F$16="Critical"</formula>
    </cfRule>
  </conditionalFormatting>
  <conditionalFormatting sqref="F30">
    <cfRule type="expression" dxfId="34" priority="130">
      <formula>$F$17="Low"</formula>
    </cfRule>
    <cfRule type="expression" dxfId="33" priority="129">
      <formula>$F$17="Moderate"</formula>
    </cfRule>
    <cfRule type="expression" dxfId="32" priority="131">
      <formula>$F$17="Very Low"</formula>
    </cfRule>
    <cfRule type="expression" dxfId="31" priority="128">
      <formula>$F$17="High"</formula>
    </cfRule>
    <cfRule type="expression" dxfId="30" priority="127">
      <formula>$F$17="Critical"</formula>
    </cfRule>
  </conditionalFormatting>
  <conditionalFormatting sqref="F35">
    <cfRule type="expression" dxfId="29" priority="153">
      <formula>$F$13="High"</formula>
    </cfRule>
    <cfRule type="expression" dxfId="28" priority="152">
      <formula>$F$13="Critical"</formula>
    </cfRule>
    <cfRule type="expression" dxfId="27" priority="156">
      <formula>$F$13="Very Low"</formula>
    </cfRule>
    <cfRule type="expression" dxfId="26" priority="155">
      <formula>$F$13="Low"</formula>
    </cfRule>
    <cfRule type="expression" dxfId="25" priority="154">
      <formula>$F$13="Moderate"</formula>
    </cfRule>
  </conditionalFormatting>
  <conditionalFormatting sqref="F36">
    <cfRule type="expression" dxfId="24" priority="178">
      <formula>$F$14="High"</formula>
    </cfRule>
    <cfRule type="expression" dxfId="23" priority="179">
      <formula>$F$14="Moderate"</formula>
    </cfRule>
    <cfRule type="expression" dxfId="22" priority="177">
      <formula>$F$14="Critical"</formula>
    </cfRule>
    <cfRule type="expression" dxfId="21" priority="181">
      <formula>$F$14="Very Low"</formula>
    </cfRule>
    <cfRule type="expression" dxfId="20" priority="180">
      <formula>$F$14="Low"</formula>
    </cfRule>
  </conditionalFormatting>
  <conditionalFormatting sqref="F37">
    <cfRule type="expression" dxfId="19" priority="204">
      <formula>$F$15="Moderate"</formula>
    </cfRule>
    <cfRule type="expression" dxfId="18" priority="206">
      <formula>$F$15="Very Low"</formula>
    </cfRule>
    <cfRule type="expression" dxfId="17" priority="205">
      <formula>$F$15="Low"</formula>
    </cfRule>
    <cfRule type="expression" dxfId="16" priority="203">
      <formula>$F$15="High"</formula>
    </cfRule>
    <cfRule type="expression" dxfId="15" priority="202">
      <formula>$F$15="Critical"</formula>
    </cfRule>
  </conditionalFormatting>
  <conditionalFormatting sqref="F38">
    <cfRule type="expression" dxfId="14" priority="229">
      <formula>$F$16="Moderate"</formula>
    </cfRule>
    <cfRule type="expression" dxfId="13" priority="230">
      <formula>$F$16="Low"</formula>
    </cfRule>
    <cfRule type="expression" dxfId="12" priority="231">
      <formula>$F$16="Very Low"</formula>
    </cfRule>
    <cfRule type="expression" dxfId="11" priority="228">
      <formula>$F$16="High"</formula>
    </cfRule>
    <cfRule type="expression" dxfId="10" priority="227">
      <formula>$F$16="Critical"</formula>
    </cfRule>
  </conditionalFormatting>
  <conditionalFormatting sqref="F39">
    <cfRule type="expression" dxfId="9" priority="256">
      <formula>$F$17="Very Low"</formula>
    </cfRule>
    <cfRule type="expression" dxfId="8" priority="252">
      <formula>$F$17="Critical"</formula>
    </cfRule>
    <cfRule type="expression" dxfId="7" priority="253">
      <formula>$F$17="High"</formula>
    </cfRule>
    <cfRule type="expression" dxfId="6" priority="254">
      <formula>$F$17="Moderate"</formula>
    </cfRule>
    <cfRule type="expression" dxfId="5" priority="255">
      <formula>$F$17="Low"</formula>
    </cfRule>
  </conditionalFormatting>
  <conditionalFormatting sqref="I13:M17">
    <cfRule type="expression" dxfId="4" priority="2">
      <formula>B13="Critical"</formula>
    </cfRule>
    <cfRule type="expression" dxfId="3" priority="5">
      <formula>B13="Low"</formula>
    </cfRule>
    <cfRule type="expression" dxfId="2" priority="3">
      <formula>B13="High"</formula>
    </cfRule>
    <cfRule type="expression" dxfId="1" priority="4">
      <formula>B13="Moderate"</formula>
    </cfRule>
    <cfRule type="expression" dxfId="0" priority="6">
      <formula>B13="Very Low"</formula>
    </cfRule>
  </conditionalFormatting>
  <pageMargins left="0.75" right="0.75" top="1" bottom="1" header="0.511811023622047" footer="0.511811023622047"/>
  <pageSetup paperSize="9" orientation="portrait" horizontalDpi="300" verticalDpi="30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7"/>
  <sheetViews>
    <sheetView zoomScaleNormal="100" workbookViewId="0"/>
  </sheetViews>
  <sheetFormatPr defaultColWidth="8.7109375" defaultRowHeight="15" x14ac:dyDescent="0.25"/>
  <cols>
    <col min="1" max="1" width="5" customWidth="1"/>
    <col min="2" max="2" width="60" customWidth="1"/>
    <col min="3" max="3" width="80" customWidth="1"/>
    <col min="4" max="4" width="45" customWidth="1"/>
  </cols>
  <sheetData>
    <row r="1" spans="1:4" ht="18" x14ac:dyDescent="0.25">
      <c r="A1" s="2" t="s">
        <v>1457</v>
      </c>
    </row>
    <row r="2" spans="1:4" x14ac:dyDescent="0.25">
      <c r="A2" s="3" t="s">
        <v>1458</v>
      </c>
    </row>
    <row r="4" spans="1:4" x14ac:dyDescent="0.25">
      <c r="A4" s="5" t="s">
        <v>1459</v>
      </c>
      <c r="B4" s="5" t="s">
        <v>1460</v>
      </c>
      <c r="C4" s="5" t="s">
        <v>1461</v>
      </c>
      <c r="D4" s="5" t="s">
        <v>1462</v>
      </c>
    </row>
    <row r="5" spans="1:4" ht="51" x14ac:dyDescent="0.25">
      <c r="A5" s="9">
        <v>1</v>
      </c>
      <c r="B5" s="9" t="s">
        <v>1463</v>
      </c>
      <c r="C5" s="9" t="s">
        <v>1464</v>
      </c>
      <c r="D5" s="9" t="s">
        <v>1465</v>
      </c>
    </row>
    <row r="6" spans="1:4" ht="102" x14ac:dyDescent="0.25">
      <c r="A6" s="9">
        <v>2</v>
      </c>
      <c r="B6" s="9" t="s">
        <v>1466</v>
      </c>
      <c r="C6" s="9" t="s">
        <v>1467</v>
      </c>
      <c r="D6" s="9" t="s">
        <v>1468</v>
      </c>
    </row>
    <row r="7" spans="1:4" ht="38.25" x14ac:dyDescent="0.25">
      <c r="A7" s="9">
        <v>3</v>
      </c>
      <c r="B7" s="9" t="s">
        <v>1469</v>
      </c>
      <c r="C7" s="9" t="s">
        <v>1470</v>
      </c>
      <c r="D7" s="9" t="s">
        <v>1471</v>
      </c>
    </row>
    <row r="8" spans="1:4" ht="38.25" x14ac:dyDescent="0.25">
      <c r="A8" s="9">
        <v>4</v>
      </c>
      <c r="B8" s="9" t="s">
        <v>1472</v>
      </c>
      <c r="C8" s="9" t="s">
        <v>1473</v>
      </c>
      <c r="D8" s="9" t="s">
        <v>1474</v>
      </c>
    </row>
    <row r="9" spans="1:4" ht="51" x14ac:dyDescent="0.25">
      <c r="A9" s="9">
        <v>5</v>
      </c>
      <c r="B9" s="9" t="s">
        <v>1475</v>
      </c>
      <c r="C9" s="9" t="s">
        <v>1476</v>
      </c>
      <c r="D9" s="9" t="s">
        <v>1477</v>
      </c>
    </row>
    <row r="10" spans="1:4" ht="51" x14ac:dyDescent="0.25">
      <c r="A10" s="9">
        <v>6</v>
      </c>
      <c r="B10" s="9" t="s">
        <v>1478</v>
      </c>
      <c r="C10" s="9" t="s">
        <v>1479</v>
      </c>
      <c r="D10" s="9" t="s">
        <v>1480</v>
      </c>
    </row>
    <row r="11" spans="1:4" ht="38.25" x14ac:dyDescent="0.25">
      <c r="A11" s="9">
        <v>7</v>
      </c>
      <c r="B11" s="9" t="s">
        <v>1481</v>
      </c>
      <c r="C11" s="9" t="s">
        <v>1482</v>
      </c>
      <c r="D11" s="9" t="s">
        <v>1483</v>
      </c>
    </row>
    <row r="12" spans="1:4" ht="25.5" x14ac:dyDescent="0.25">
      <c r="A12" s="9">
        <v>8</v>
      </c>
      <c r="B12" s="9" t="s">
        <v>1484</v>
      </c>
      <c r="C12" s="9" t="s">
        <v>1485</v>
      </c>
      <c r="D12" s="9" t="s">
        <v>1486</v>
      </c>
    </row>
    <row r="13" spans="1:4" ht="25.5" x14ac:dyDescent="0.25">
      <c r="A13" s="9">
        <v>9</v>
      </c>
      <c r="B13" s="9" t="s">
        <v>1487</v>
      </c>
      <c r="C13" s="9" t="s">
        <v>1488</v>
      </c>
      <c r="D13" s="9" t="s">
        <v>1489</v>
      </c>
    </row>
    <row r="14" spans="1:4" ht="89.25" x14ac:dyDescent="0.25">
      <c r="A14" s="9">
        <v>10</v>
      </c>
      <c r="B14" s="9" t="s">
        <v>1490</v>
      </c>
      <c r="C14" s="9" t="s">
        <v>1491</v>
      </c>
      <c r="D14" s="9" t="s">
        <v>1492</v>
      </c>
    </row>
    <row r="15" spans="1:4" ht="38.25" x14ac:dyDescent="0.25">
      <c r="A15" s="9">
        <v>11</v>
      </c>
      <c r="B15" s="9" t="s">
        <v>1493</v>
      </c>
      <c r="C15" s="9" t="s">
        <v>1494</v>
      </c>
      <c r="D15" s="9" t="s">
        <v>1495</v>
      </c>
    </row>
    <row r="16" spans="1:4" ht="38.25" x14ac:dyDescent="0.25">
      <c r="A16" s="9">
        <v>12</v>
      </c>
      <c r="B16" s="9" t="s">
        <v>1496</v>
      </c>
      <c r="C16" s="9" t="s">
        <v>1497</v>
      </c>
      <c r="D16" s="9" t="s">
        <v>1498</v>
      </c>
    </row>
    <row r="17" spans="1:4" ht="25.5" x14ac:dyDescent="0.25">
      <c r="A17" s="9">
        <v>13</v>
      </c>
      <c r="B17" s="9" t="s">
        <v>1499</v>
      </c>
      <c r="C17" s="9" t="s">
        <v>1500</v>
      </c>
      <c r="D17" s="9" t="s">
        <v>1492</v>
      </c>
    </row>
  </sheetData>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2"/>
  <sheetViews>
    <sheetView tabSelected="1" zoomScaleNormal="100" workbookViewId="0"/>
  </sheetViews>
  <sheetFormatPr defaultColWidth="8.7109375" defaultRowHeight="15" x14ac:dyDescent="0.25"/>
  <cols>
    <col min="1" max="1" width="130" customWidth="1"/>
  </cols>
  <sheetData>
    <row r="1" spans="1:1" ht="15.75" x14ac:dyDescent="0.25">
      <c r="A1" s="40" t="s">
        <v>1501</v>
      </c>
    </row>
    <row r="2" spans="1:1" ht="25.5" x14ac:dyDescent="0.25">
      <c r="A2" s="41" t="s">
        <v>1502</v>
      </c>
    </row>
    <row r="3" spans="1:1" ht="25.5" x14ac:dyDescent="0.25">
      <c r="A3" s="41" t="s">
        <v>1503</v>
      </c>
    </row>
    <row r="4" spans="1:1" x14ac:dyDescent="0.25">
      <c r="A4" s="41" t="s">
        <v>1504</v>
      </c>
    </row>
    <row r="5" spans="1:1" x14ac:dyDescent="0.25">
      <c r="A5" s="41" t="s">
        <v>1505</v>
      </c>
    </row>
    <row r="6" spans="1:1" ht="25.5" x14ac:dyDescent="0.25">
      <c r="A6" s="41" t="s">
        <v>1506</v>
      </c>
    </row>
    <row r="7" spans="1:1" ht="25.5" x14ac:dyDescent="0.25">
      <c r="A7" s="41" t="s">
        <v>1507</v>
      </c>
    </row>
    <row r="8" spans="1:1" x14ac:dyDescent="0.25">
      <c r="A8" s="41" t="s">
        <v>1508</v>
      </c>
    </row>
    <row r="9" spans="1:1" x14ac:dyDescent="0.25">
      <c r="A9" s="41" t="s">
        <v>1509</v>
      </c>
    </row>
    <row r="10" spans="1:1" x14ac:dyDescent="0.25">
      <c r="A10" s="41" t="s">
        <v>1510</v>
      </c>
    </row>
    <row r="11" spans="1:1" x14ac:dyDescent="0.25">
      <c r="A11" s="41" t="s">
        <v>1511</v>
      </c>
    </row>
    <row r="12" spans="1:1" x14ac:dyDescent="0.25">
      <c r="A12" s="42" t="s">
        <v>1512</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Risk Register</vt:lpstr>
      <vt:lpstr>Top 10 - Overall</vt:lpstr>
      <vt:lpstr>Top 10 - Perth</vt:lpstr>
      <vt:lpstr>Top 10 - Fremantle</vt:lpstr>
      <vt:lpstr>Risk by Template</vt:lpstr>
      <vt:lpstr>Summary by Assessment</vt:lpstr>
      <vt:lpstr>School Comparison</vt:lpstr>
      <vt:lpstr>Scales &amp; Matrix</vt:lpstr>
      <vt:lpstr>Data Quality Notes</vt:lpstr>
      <vt:lpstr>Read 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Michael Sebbag</cp:lastModifiedBy>
  <cp:revision>1</cp:revision>
  <dcterms:created xsi:type="dcterms:W3CDTF">2026-09-22T05:27:43Z</dcterms:created>
  <dcterms:modified xsi:type="dcterms:W3CDTF">2026-09-22T05:33:59Z</dcterms:modified>
  <dc:language>en-US</dc:language>
</cp:coreProperties>
</file>